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0730" windowHeight="11760" tabRatio="808" firstSheet="4" activeTab="5"/>
  </bookViews>
  <sheets>
    <sheet name="MC1" sheetId="20" state="hidden" r:id="rId1"/>
    <sheet name="MC2" sheetId="4" state="hidden" r:id="rId2"/>
    <sheet name="NBR" sheetId="6" state="hidden" r:id="rId3"/>
    <sheet name="IT" sheetId="5" state="hidden" r:id="rId4"/>
    <sheet name="MC1 (2)" sheetId="21" r:id="rId5"/>
    <sheet name="MC2 (2)" sheetId="22" r:id="rId6"/>
    <sheet name="NPSH" sheetId="7" state="hidden" r:id="rId7"/>
    <sheet name="SPK1" sheetId="14" state="hidden" r:id="rId8"/>
    <sheet name="SPK2" sheetId="15" state="hidden" r:id="rId9"/>
    <sheet name="Carta CBM" sheetId="8" state="hidden" r:id="rId10"/>
    <sheet name="Carta Cliente" sheetId="9" state="hidden" r:id="rId11"/>
    <sheet name="Planilha ORC M" sheetId="12" state="hidden" r:id="rId12"/>
    <sheet name="Planilha ORC" sheetId="11" state="hidden" r:id="rId13"/>
    <sheet name="Carta CBMs" sheetId="16" state="hidden" r:id="rId14"/>
    <sheet name="Carta Clientes" sheetId="17" state="hidden" r:id="rId15"/>
  </sheets>
  <externalReferences>
    <externalReference r:id="rId16"/>
  </externalReferences>
  <definedNames>
    <definedName name="_xlnm._FilterDatabase" localSheetId="11" hidden="1">'Planilha ORC M'!$B$10:$H$199</definedName>
    <definedName name="_xlnm.Print_Area" localSheetId="9">'Carta CBM'!$A$1:$K$52</definedName>
    <definedName name="_xlnm.Print_Area" localSheetId="10">'Carta Cliente'!$A$1:$K$52</definedName>
    <definedName name="_xlnm.Print_Area" localSheetId="4">'MC1 (2)'!$A$5:$X$73</definedName>
    <definedName name="_xlnm.Print_Area" localSheetId="1">'MC2'!$A$1:$Z$61</definedName>
    <definedName name="_xlnm.Print_Area" localSheetId="5">'MC2 (2)'!$A$1:$Z$60</definedName>
    <definedName name="_xlnm.Print_Area" localSheetId="6">NPSH!$A$1:$M$37</definedName>
    <definedName name="_xlnm.Print_Area" localSheetId="12">'Planilha ORC'!$A$1:$G$39</definedName>
    <definedName name="_xlnm.Print_Area" localSheetId="11">'Planilha ORC M'!$A$1:$I$199</definedName>
    <definedName name="_xlnm.Print_Area" localSheetId="7">'SPK1'!$A$1:$X$62</definedName>
    <definedName name="_xlnm.Print_Area" localSheetId="8">'SPK2'!$A$1:$Z$39</definedName>
    <definedName name="Excel_BuiltIn__FilterDatabase">'Planilha ORC'!$B$2:$H$39</definedName>
    <definedName name="_xlnm.Print_Titles" localSheetId="12">'Planilha ORC'!$1:$1</definedName>
    <definedName name="_xlnm.Print_Titles" localSheetId="11">'Planilha ORC M'!$1:$9</definedName>
  </definedNames>
  <calcPr calcId="191029" fullCalcOnLoad="1"/>
</workbook>
</file>

<file path=xl/calcChain.xml><?xml version="1.0" encoding="utf-8"?>
<calcChain xmlns="http://schemas.openxmlformats.org/spreadsheetml/2006/main">
  <c r="B3" i="17" l="1"/>
  <c r="C8" i="17"/>
  <c r="C9" i="17"/>
  <c r="C10" i="17"/>
  <c r="C11" i="17"/>
  <c r="C12" i="17"/>
  <c r="D42" i="17"/>
  <c r="F1" i="16"/>
  <c r="H1" i="16"/>
  <c r="J1" i="16"/>
  <c r="B11" i="16"/>
  <c r="B12" i="16"/>
  <c r="B13" i="16"/>
  <c r="B14" i="16"/>
  <c r="B15" i="16"/>
  <c r="D42" i="16"/>
  <c r="E3" i="11"/>
  <c r="E4" i="11"/>
  <c r="G3" i="11"/>
  <c r="G2" i="11"/>
  <c r="H2" i="11"/>
  <c r="H39" i="11"/>
  <c r="G5" i="11"/>
  <c r="G9" i="11"/>
  <c r="G10" i="11"/>
  <c r="G11" i="11"/>
  <c r="G12" i="11"/>
  <c r="G13" i="11"/>
  <c r="O13" i="11"/>
  <c r="G14" i="11"/>
  <c r="K14" i="11"/>
  <c r="G15" i="11"/>
  <c r="K15" i="11"/>
  <c r="E16" i="11"/>
  <c r="G16" i="11"/>
  <c r="G17" i="11"/>
  <c r="G18" i="11"/>
  <c r="G19" i="11"/>
  <c r="E20" i="11"/>
  <c r="G20" i="11"/>
  <c r="G21" i="11"/>
  <c r="G22" i="11"/>
  <c r="G23" i="11"/>
  <c r="G24" i="11"/>
  <c r="G25" i="11"/>
  <c r="E26" i="11"/>
  <c r="G26" i="11"/>
  <c r="G27" i="11"/>
  <c r="G28" i="11"/>
  <c r="G29" i="11"/>
  <c r="G30" i="11"/>
  <c r="G31" i="11"/>
  <c r="G32" i="11"/>
  <c r="G33" i="11"/>
  <c r="G34" i="11"/>
  <c r="G35" i="11"/>
  <c r="G36" i="11"/>
  <c r="G37" i="11"/>
  <c r="A2" i="12"/>
  <c r="A3" i="12"/>
  <c r="A4" i="12"/>
  <c r="F11" i="12"/>
  <c r="G11" i="12"/>
  <c r="F12" i="12"/>
  <c r="G12" i="12"/>
  <c r="H10" i="12"/>
  <c r="F13" i="12"/>
  <c r="G13" i="12"/>
  <c r="F14" i="12"/>
  <c r="G14" i="12"/>
  <c r="F15" i="12"/>
  <c r="G15" i="12"/>
  <c r="F16" i="12"/>
  <c r="G16" i="12"/>
  <c r="F17" i="12"/>
  <c r="G17" i="12"/>
  <c r="H19" i="12"/>
  <c r="F20" i="12"/>
  <c r="G20" i="12"/>
  <c r="F21" i="12"/>
  <c r="G21" i="12"/>
  <c r="F22" i="12"/>
  <c r="G22" i="12"/>
  <c r="E25" i="12"/>
  <c r="F25" i="12"/>
  <c r="E26" i="12"/>
  <c r="F26" i="12"/>
  <c r="G26" i="12"/>
  <c r="F27" i="12"/>
  <c r="G27" i="12"/>
  <c r="F28" i="12"/>
  <c r="G28" i="12"/>
  <c r="O28" i="12"/>
  <c r="F29" i="12"/>
  <c r="G29" i="12"/>
  <c r="K29" i="12"/>
  <c r="F30" i="12"/>
  <c r="G30" i="12"/>
  <c r="K30" i="12"/>
  <c r="E31" i="12"/>
  <c r="F31" i="12"/>
  <c r="F32" i="12"/>
  <c r="G32" i="12"/>
  <c r="E33" i="12"/>
  <c r="F33" i="12"/>
  <c r="G33" i="12"/>
  <c r="E34" i="12"/>
  <c r="F34" i="12"/>
  <c r="E35" i="12"/>
  <c r="F35" i="12"/>
  <c r="G35" i="12"/>
  <c r="E36" i="12"/>
  <c r="E37" i="12"/>
  <c r="F37" i="12"/>
  <c r="E38" i="12"/>
  <c r="F38" i="12"/>
  <c r="E39" i="12"/>
  <c r="F39" i="12"/>
  <c r="F40" i="12"/>
  <c r="G40" i="12"/>
  <c r="E41" i="12"/>
  <c r="E42" i="12"/>
  <c r="F43" i="12"/>
  <c r="G43" i="12"/>
  <c r="F44" i="12"/>
  <c r="G44" i="12"/>
  <c r="F45" i="12"/>
  <c r="G45" i="12"/>
  <c r="F46" i="12"/>
  <c r="G46" i="12"/>
  <c r="E47" i="12"/>
  <c r="F47" i="12"/>
  <c r="G47" i="12"/>
  <c r="F48" i="12"/>
  <c r="G48" i="12"/>
  <c r="F49" i="12"/>
  <c r="G49" i="12"/>
  <c r="F50" i="12"/>
  <c r="G50" i="12"/>
  <c r="F55" i="12"/>
  <c r="G55" i="12"/>
  <c r="H53" i="12"/>
  <c r="F57" i="12"/>
  <c r="G57" i="12"/>
  <c r="F58" i="12"/>
  <c r="G58" i="12"/>
  <c r="F59" i="12"/>
  <c r="G59" i="12"/>
  <c r="F60" i="12"/>
  <c r="G60" i="12"/>
  <c r="F61" i="12"/>
  <c r="G61" i="12"/>
  <c r="F62" i="12"/>
  <c r="G62" i="12"/>
  <c r="F63" i="12"/>
  <c r="G63" i="12"/>
  <c r="F64" i="12"/>
  <c r="G64" i="12"/>
  <c r="F65" i="12"/>
  <c r="G65" i="12"/>
  <c r="F66" i="12"/>
  <c r="G66" i="12"/>
  <c r="F67" i="12"/>
  <c r="G67" i="12"/>
  <c r="F68" i="12"/>
  <c r="G68" i="12"/>
  <c r="F69" i="12"/>
  <c r="G69" i="12"/>
  <c r="F70" i="12"/>
  <c r="G70" i="12"/>
  <c r="F71" i="12"/>
  <c r="G71" i="12"/>
  <c r="F72" i="12"/>
  <c r="G72" i="12"/>
  <c r="F73" i="12"/>
  <c r="G73" i="12"/>
  <c r="F75" i="12"/>
  <c r="G75" i="12"/>
  <c r="F76" i="12"/>
  <c r="G76" i="12"/>
  <c r="F78" i="12"/>
  <c r="G78" i="12"/>
  <c r="F79" i="12"/>
  <c r="G79" i="12"/>
  <c r="F80" i="12"/>
  <c r="G80" i="12"/>
  <c r="F81" i="12"/>
  <c r="G81" i="12"/>
  <c r="F82" i="12"/>
  <c r="G82" i="12"/>
  <c r="H84" i="12"/>
  <c r="F86" i="12"/>
  <c r="G86" i="12"/>
  <c r="F87" i="12"/>
  <c r="G87" i="12"/>
  <c r="F89" i="12"/>
  <c r="G89" i="12"/>
  <c r="F90" i="12"/>
  <c r="G90" i="12"/>
  <c r="F91" i="12"/>
  <c r="G91" i="12"/>
  <c r="F92" i="12"/>
  <c r="G92" i="12"/>
  <c r="F93" i="12"/>
  <c r="G93" i="12"/>
  <c r="F94" i="12"/>
  <c r="G94" i="12"/>
  <c r="F95" i="12"/>
  <c r="G95" i="12"/>
  <c r="F96" i="12"/>
  <c r="G96" i="12"/>
  <c r="F97" i="12"/>
  <c r="G97" i="12"/>
  <c r="F98" i="12"/>
  <c r="G98" i="12"/>
  <c r="F101" i="12"/>
  <c r="G101" i="12"/>
  <c r="F102" i="12"/>
  <c r="G102" i="12"/>
  <c r="F103" i="12"/>
  <c r="G103" i="12"/>
  <c r="F104" i="12"/>
  <c r="G104" i="12"/>
  <c r="F105" i="12"/>
  <c r="G105" i="12"/>
  <c r="F106" i="12"/>
  <c r="G106" i="12"/>
  <c r="F107" i="12"/>
  <c r="G107" i="12"/>
  <c r="F108" i="12"/>
  <c r="G108" i="12"/>
  <c r="F109" i="12"/>
  <c r="G109" i="12"/>
  <c r="F110" i="12"/>
  <c r="G110" i="12"/>
  <c r="F111" i="12"/>
  <c r="G111" i="12"/>
  <c r="F112" i="12"/>
  <c r="G112" i="12"/>
  <c r="F113" i="12"/>
  <c r="G113" i="12"/>
  <c r="F114" i="12"/>
  <c r="G114" i="12"/>
  <c r="F115" i="12"/>
  <c r="G115" i="12"/>
  <c r="F116" i="12"/>
  <c r="G116" i="12"/>
  <c r="F119" i="12"/>
  <c r="G119" i="12"/>
  <c r="F120" i="12"/>
  <c r="G120" i="12"/>
  <c r="H118" i="12"/>
  <c r="F121" i="12"/>
  <c r="G121" i="12"/>
  <c r="F122" i="12"/>
  <c r="G122" i="12"/>
  <c r="F123" i="12"/>
  <c r="G123" i="12"/>
  <c r="F124" i="12"/>
  <c r="G124" i="12"/>
  <c r="F125" i="12"/>
  <c r="G125" i="12"/>
  <c r="F126" i="12"/>
  <c r="G126" i="12"/>
  <c r="F127" i="12"/>
  <c r="G127" i="12"/>
  <c r="F128" i="12"/>
  <c r="G128" i="12"/>
  <c r="F129" i="12"/>
  <c r="G129" i="12"/>
  <c r="F130" i="12"/>
  <c r="G130" i="12"/>
  <c r="F131" i="12"/>
  <c r="G131" i="12"/>
  <c r="F132" i="12"/>
  <c r="G132" i="12"/>
  <c r="F135" i="12"/>
  <c r="G135" i="12"/>
  <c r="H134" i="12"/>
  <c r="K135" i="12"/>
  <c r="F136" i="12"/>
  <c r="G136" i="12"/>
  <c r="K136" i="12"/>
  <c r="L136" i="12"/>
  <c r="F137" i="12"/>
  <c r="G137" i="12"/>
  <c r="K137" i="12"/>
  <c r="F138" i="12"/>
  <c r="G138" i="12"/>
  <c r="K138" i="12"/>
  <c r="F139" i="12"/>
  <c r="G139" i="12"/>
  <c r="K139" i="12"/>
  <c r="F140" i="12"/>
  <c r="G140" i="12"/>
  <c r="K140" i="12"/>
  <c r="F141" i="12"/>
  <c r="G141" i="12"/>
  <c r="K141" i="12"/>
  <c r="F142" i="12"/>
  <c r="G142" i="12"/>
  <c r="K142" i="12"/>
  <c r="F146" i="12"/>
  <c r="G146" i="12"/>
  <c r="F147" i="12"/>
  <c r="G147" i="12"/>
  <c r="F148" i="12"/>
  <c r="G148" i="12"/>
  <c r="F149" i="12"/>
  <c r="G149" i="12"/>
  <c r="F150" i="12"/>
  <c r="G150" i="12"/>
  <c r="H152" i="12"/>
  <c r="F153" i="12"/>
  <c r="G153" i="12"/>
  <c r="F154" i="12"/>
  <c r="G154" i="12"/>
  <c r="F157" i="12"/>
  <c r="G157" i="12"/>
  <c r="H156" i="12"/>
  <c r="K157" i="12"/>
  <c r="F158" i="12"/>
  <c r="G158" i="12"/>
  <c r="F161" i="12"/>
  <c r="G161" i="12"/>
  <c r="F162" i="12"/>
  <c r="G162" i="12"/>
  <c r="H160" i="12"/>
  <c r="F163" i="12"/>
  <c r="G163" i="12"/>
  <c r="F164" i="12"/>
  <c r="G164" i="12"/>
  <c r="K164" i="12"/>
  <c r="F165" i="12"/>
  <c r="G165" i="12"/>
  <c r="H167" i="12"/>
  <c r="F169" i="12"/>
  <c r="G169" i="12"/>
  <c r="F172" i="12"/>
  <c r="G172" i="12"/>
  <c r="F173" i="12"/>
  <c r="G173" i="12"/>
  <c r="H171" i="12"/>
  <c r="F174" i="12"/>
  <c r="G174" i="12"/>
  <c r="F175" i="12"/>
  <c r="G175" i="12"/>
  <c r="F176" i="12"/>
  <c r="G176" i="12"/>
  <c r="F177" i="12"/>
  <c r="G177" i="12"/>
  <c r="F178" i="12"/>
  <c r="G178" i="12"/>
  <c r="F179" i="12"/>
  <c r="G179" i="12"/>
  <c r="F180" i="12"/>
  <c r="G180" i="12"/>
  <c r="F181" i="12"/>
  <c r="G181" i="12"/>
  <c r="F182" i="12"/>
  <c r="G182" i="12"/>
  <c r="F183" i="12"/>
  <c r="G183" i="12"/>
  <c r="F184" i="12"/>
  <c r="G184" i="12"/>
  <c r="F185" i="12"/>
  <c r="G185" i="12"/>
  <c r="F186" i="12"/>
  <c r="G186" i="12"/>
  <c r="F187" i="12"/>
  <c r="G187" i="12"/>
  <c r="F191" i="12"/>
  <c r="G191" i="12"/>
  <c r="F192" i="12"/>
  <c r="G192" i="12"/>
  <c r="H189" i="12"/>
  <c r="H194" i="12"/>
  <c r="F195" i="12"/>
  <c r="G195" i="12"/>
  <c r="F197" i="12"/>
  <c r="G197" i="12"/>
  <c r="A4" i="9"/>
  <c r="C11" i="9"/>
  <c r="F1" i="8"/>
  <c r="H1" i="8"/>
  <c r="H1" i="9"/>
  <c r="J1" i="8"/>
  <c r="J1" i="9"/>
  <c r="B11" i="8"/>
  <c r="C8" i="9"/>
  <c r="B12" i="8"/>
  <c r="C9" i="9"/>
  <c r="B13" i="8"/>
  <c r="C10" i="9"/>
  <c r="B14" i="8"/>
  <c r="B15" i="8"/>
  <c r="C12" i="9"/>
  <c r="D42" i="8"/>
  <c r="F5" i="14"/>
  <c r="E6" i="14"/>
  <c r="S6" i="14"/>
  <c r="E7" i="14"/>
  <c r="T7" i="14"/>
  <c r="E8" i="14"/>
  <c r="G9" i="14"/>
  <c r="V9" i="14"/>
  <c r="H10" i="14"/>
  <c r="S10" i="14"/>
  <c r="T11" i="14"/>
  <c r="H14" i="7"/>
  <c r="K14" i="7"/>
  <c r="C22" i="7"/>
  <c r="C25" i="7"/>
  <c r="F25" i="7"/>
  <c r="D29" i="7"/>
  <c r="C35" i="7"/>
  <c r="D38" i="8"/>
  <c r="D38" i="16"/>
  <c r="D36" i="7"/>
  <c r="D39" i="8"/>
  <c r="L29" i="22"/>
  <c r="E38" i="22"/>
  <c r="V19" i="21"/>
  <c r="H64" i="21"/>
  <c r="K65" i="21"/>
  <c r="K66" i="21"/>
  <c r="H67" i="21"/>
  <c r="G68" i="21"/>
  <c r="G69" i="21"/>
  <c r="B2" i="5"/>
  <c r="B3" i="7"/>
  <c r="I2" i="5"/>
  <c r="J2" i="5"/>
  <c r="L2" i="5"/>
  <c r="M2" i="5"/>
  <c r="O2" i="5"/>
  <c r="S2" i="5"/>
  <c r="G3" i="5"/>
  <c r="H3" i="5"/>
  <c r="I3" i="5"/>
  <c r="L3" i="5"/>
  <c r="M3" i="5"/>
  <c r="N3" i="5"/>
  <c r="R4" i="5"/>
  <c r="I5" i="5"/>
  <c r="I7" i="5"/>
  <c r="D9" i="5"/>
  <c r="E16" i="5"/>
  <c r="I16" i="5"/>
  <c r="L21" i="5"/>
  <c r="P21" i="5"/>
  <c r="P22" i="5"/>
  <c r="L16" i="5"/>
  <c r="O16" i="5"/>
  <c r="K16" i="5"/>
  <c r="P16" i="5"/>
  <c r="N16" i="5"/>
  <c r="Q16" i="5"/>
  <c r="R16" i="5"/>
  <c r="K17" i="5"/>
  <c r="M21" i="5"/>
  <c r="M22" i="5"/>
  <c r="N21" i="5"/>
  <c r="D22" i="5"/>
  <c r="G22" i="5"/>
  <c r="I22" i="5"/>
  <c r="K22" i="5"/>
  <c r="L22" i="5"/>
  <c r="L100" i="5"/>
  <c r="N22" i="5"/>
  <c r="N59" i="5"/>
  <c r="G23" i="5"/>
  <c r="D23" i="5"/>
  <c r="I23" i="5"/>
  <c r="D24" i="5"/>
  <c r="B26" i="5"/>
  <c r="B27" i="5"/>
  <c r="G27" i="5"/>
  <c r="C52" i="5"/>
  <c r="D52" i="5"/>
  <c r="C53" i="5"/>
  <c r="D53" i="5"/>
  <c r="D58" i="5"/>
  <c r="F59" i="5"/>
  <c r="K59" i="5"/>
  <c r="P62" i="5"/>
  <c r="P69" i="5"/>
  <c r="F72" i="5"/>
  <c r="Q62" i="5"/>
  <c r="B69" i="5"/>
  <c r="C69" i="5"/>
  <c r="D69" i="5"/>
  <c r="F69" i="5"/>
  <c r="G69" i="5"/>
  <c r="H69" i="5"/>
  <c r="J69" i="5"/>
  <c r="K69" i="5"/>
  <c r="L69" i="5"/>
  <c r="N69" i="5"/>
  <c r="O69" i="5"/>
  <c r="D79" i="5"/>
  <c r="F79" i="5"/>
  <c r="F80" i="5"/>
  <c r="K80" i="5"/>
  <c r="L80" i="5"/>
  <c r="N80" i="5"/>
  <c r="P83" i="5"/>
  <c r="R83" i="5"/>
  <c r="D90" i="5"/>
  <c r="E90" i="5"/>
  <c r="F90" i="5"/>
  <c r="I90" i="5"/>
  <c r="J90" i="5"/>
  <c r="L90" i="5"/>
  <c r="N90" i="5"/>
  <c r="P90" i="5"/>
  <c r="F93" i="5"/>
  <c r="Q90" i="5"/>
  <c r="D99" i="5"/>
  <c r="F99" i="5"/>
  <c r="F100" i="5"/>
  <c r="K100" i="5"/>
  <c r="N100" i="5"/>
  <c r="P103" i="5"/>
  <c r="B110" i="5"/>
  <c r="C110" i="5"/>
  <c r="D110" i="5"/>
  <c r="F112" i="5"/>
  <c r="E110" i="5"/>
  <c r="F110" i="5"/>
  <c r="G110" i="5"/>
  <c r="H110" i="5"/>
  <c r="I110" i="5"/>
  <c r="J110" i="5"/>
  <c r="K110" i="5"/>
  <c r="L110" i="5"/>
  <c r="M110" i="5"/>
  <c r="N110" i="5"/>
  <c r="O110" i="5"/>
  <c r="P110" i="5"/>
  <c r="F113" i="5"/>
  <c r="F114" i="5"/>
  <c r="Q110" i="5"/>
  <c r="F116" i="5"/>
  <c r="D119" i="5"/>
  <c r="F119" i="5"/>
  <c r="F120" i="5"/>
  <c r="K120" i="5"/>
  <c r="L120" i="5"/>
  <c r="P121" i="5"/>
  <c r="P123" i="5"/>
  <c r="B130" i="5"/>
  <c r="C130" i="5"/>
  <c r="D130" i="5"/>
  <c r="E130" i="5"/>
  <c r="F130" i="5"/>
  <c r="G130" i="5"/>
  <c r="H130" i="5"/>
  <c r="I130" i="5"/>
  <c r="J130" i="5"/>
  <c r="K130" i="5"/>
  <c r="L130" i="5"/>
  <c r="M130" i="5"/>
  <c r="N130" i="5"/>
  <c r="O130" i="5"/>
  <c r="P130" i="5"/>
  <c r="Q130" i="5"/>
  <c r="F133" i="5"/>
  <c r="F136" i="5"/>
  <c r="D139" i="5"/>
  <c r="F139" i="5"/>
  <c r="K140" i="5"/>
  <c r="L140" i="5"/>
  <c r="N140" i="5"/>
  <c r="P143" i="5"/>
  <c r="B149" i="5"/>
  <c r="C149" i="5"/>
  <c r="G149" i="5"/>
  <c r="I149" i="5"/>
  <c r="M149" i="5"/>
  <c r="N149" i="5"/>
  <c r="E159" i="5"/>
  <c r="E165" i="5"/>
  <c r="E166" i="5"/>
  <c r="N166" i="5"/>
  <c r="O166" i="5"/>
  <c r="E169" i="5"/>
  <c r="E170" i="5"/>
  <c r="G172" i="5"/>
  <c r="J2" i="6"/>
  <c r="J4" i="6"/>
  <c r="J3" i="6"/>
  <c r="I16" i="6"/>
  <c r="K16" i="6"/>
  <c r="P16" i="6"/>
  <c r="F17" i="6"/>
  <c r="K100" i="6"/>
  <c r="P17" i="6"/>
  <c r="L21" i="6"/>
  <c r="M21" i="6"/>
  <c r="M22" i="6"/>
  <c r="N21" i="6"/>
  <c r="N22" i="6"/>
  <c r="D22" i="6"/>
  <c r="I22" i="6"/>
  <c r="K22" i="6"/>
  <c r="D24" i="6"/>
  <c r="B26" i="6"/>
  <c r="B27" i="6"/>
  <c r="G27" i="6"/>
  <c r="D58" i="6"/>
  <c r="F58" i="6"/>
  <c r="K59" i="6"/>
  <c r="P62" i="6"/>
  <c r="B69" i="6"/>
  <c r="D69" i="6"/>
  <c r="F69" i="6"/>
  <c r="H69" i="6"/>
  <c r="I69" i="6"/>
  <c r="L69" i="6"/>
  <c r="M69" i="6"/>
  <c r="N69" i="6"/>
  <c r="D79" i="6"/>
  <c r="F80" i="6"/>
  <c r="K80" i="6"/>
  <c r="P83" i="6"/>
  <c r="D90" i="6"/>
  <c r="E90" i="6"/>
  <c r="I90" i="6"/>
  <c r="K90" i="6"/>
  <c r="O90" i="6"/>
  <c r="P90" i="6"/>
  <c r="F93" i="6"/>
  <c r="D99" i="6"/>
  <c r="F99" i="6"/>
  <c r="F100" i="6"/>
  <c r="C52" i="6"/>
  <c r="D52" i="6"/>
  <c r="M100" i="6"/>
  <c r="P103" i="6"/>
  <c r="B110" i="6"/>
  <c r="C110" i="6"/>
  <c r="F110" i="6"/>
  <c r="G110" i="6"/>
  <c r="I110" i="6"/>
  <c r="K110" i="6"/>
  <c r="M110" i="6"/>
  <c r="N110" i="6"/>
  <c r="Q110" i="6"/>
  <c r="F116" i="6"/>
  <c r="D119" i="6"/>
  <c r="K120" i="6"/>
  <c r="P123" i="6"/>
  <c r="D130" i="6"/>
  <c r="I130" i="6"/>
  <c r="O130" i="6"/>
  <c r="D139" i="6"/>
  <c r="F140" i="6"/>
  <c r="C54" i="6"/>
  <c r="D54" i="6"/>
  <c r="F139" i="6"/>
  <c r="K140" i="6"/>
  <c r="M140" i="6"/>
  <c r="P143" i="6"/>
  <c r="B149" i="6"/>
  <c r="E149" i="6"/>
  <c r="F149" i="6"/>
  <c r="I149" i="6"/>
  <c r="J149" i="6"/>
  <c r="M149" i="6"/>
  <c r="N149" i="6"/>
  <c r="F155" i="6"/>
  <c r="E160" i="6"/>
  <c r="N160" i="6"/>
  <c r="P160" i="6"/>
  <c r="E161" i="6"/>
  <c r="E165" i="6"/>
  <c r="E164" i="6"/>
  <c r="G167" i="6"/>
  <c r="B4" i="4"/>
  <c r="D25" i="7"/>
  <c r="L28" i="4"/>
  <c r="S30" i="4"/>
  <c r="E39" i="4"/>
  <c r="Q49" i="4"/>
  <c r="F7" i="20"/>
  <c r="E8" i="20"/>
  <c r="D9" i="20"/>
  <c r="T9" i="20"/>
  <c r="E10" i="20"/>
  <c r="G11" i="20"/>
  <c r="V11" i="20"/>
  <c r="H12" i="20"/>
  <c r="T13" i="20"/>
  <c r="J19" i="20"/>
  <c r="R19" i="20"/>
  <c r="V19" i="20"/>
  <c r="W23" i="20"/>
  <c r="V71" i="20"/>
  <c r="R19" i="21"/>
  <c r="N59" i="6"/>
  <c r="N140" i="6"/>
  <c r="N120" i="6"/>
  <c r="N100" i="6"/>
  <c r="Q160" i="6"/>
  <c r="N80" i="6"/>
  <c r="M59" i="5"/>
  <c r="M80" i="5"/>
  <c r="M100" i="5"/>
  <c r="P166" i="5"/>
  <c r="M120" i="5"/>
  <c r="M140" i="5"/>
  <c r="F119" i="6"/>
  <c r="B130" i="6"/>
  <c r="F130" i="6"/>
  <c r="J130" i="6"/>
  <c r="N130" i="6"/>
  <c r="H45" i="20"/>
  <c r="K9" i="4"/>
  <c r="M130" i="6"/>
  <c r="H130" i="6"/>
  <c r="C130" i="6"/>
  <c r="F79" i="6"/>
  <c r="B90" i="6"/>
  <c r="F90" i="6"/>
  <c r="J90" i="6"/>
  <c r="N90" i="6"/>
  <c r="M80" i="6"/>
  <c r="M120" i="6"/>
  <c r="D149" i="5"/>
  <c r="F151" i="5"/>
  <c r="H149" i="5"/>
  <c r="L149" i="5"/>
  <c r="P149" i="5"/>
  <c r="F152" i="5"/>
  <c r="H144" i="12"/>
  <c r="I37" i="20"/>
  <c r="K19" i="4"/>
  <c r="K7" i="4"/>
  <c r="P149" i="6"/>
  <c r="F152" i="6"/>
  <c r="L149" i="6"/>
  <c r="H149" i="6"/>
  <c r="D149" i="6"/>
  <c r="F136" i="6"/>
  <c r="Q130" i="6"/>
  <c r="L130" i="6"/>
  <c r="G130" i="6"/>
  <c r="O110" i="6"/>
  <c r="J110" i="6"/>
  <c r="E110" i="6"/>
  <c r="M90" i="6"/>
  <c r="H90" i="6"/>
  <c r="C90" i="6"/>
  <c r="P69" i="6"/>
  <c r="F72" i="6"/>
  <c r="J69" i="6"/>
  <c r="E69" i="6"/>
  <c r="L22" i="6"/>
  <c r="P21" i="6"/>
  <c r="P22" i="6"/>
  <c r="K149" i="5"/>
  <c r="F149" i="5"/>
  <c r="F132" i="5"/>
  <c r="F134" i="5"/>
  <c r="M90" i="5"/>
  <c r="H90" i="5"/>
  <c r="B90" i="5"/>
  <c r="F92" i="5"/>
  <c r="F94" i="5"/>
  <c r="F58" i="5"/>
  <c r="E69" i="5"/>
  <c r="I69" i="5"/>
  <c r="M69" i="5"/>
  <c r="F71" i="5"/>
  <c r="F73" i="5"/>
  <c r="O21" i="5"/>
  <c r="J3" i="5"/>
  <c r="J4" i="5"/>
  <c r="K4" i="5"/>
  <c r="J20" i="21"/>
  <c r="R20" i="21"/>
  <c r="L30" i="4"/>
  <c r="K12" i="4"/>
  <c r="H100" i="12"/>
  <c r="H19" i="20"/>
  <c r="K16" i="4"/>
  <c r="O4" i="4"/>
  <c r="O149" i="6"/>
  <c r="K149" i="6"/>
  <c r="G149" i="6"/>
  <c r="C149" i="6"/>
  <c r="F151" i="6"/>
  <c r="P130" i="6"/>
  <c r="F133" i="6"/>
  <c r="K130" i="6"/>
  <c r="E130" i="6"/>
  <c r="F120" i="6"/>
  <c r="C53" i="6"/>
  <c r="D53" i="6"/>
  <c r="D110" i="6"/>
  <c r="H110" i="6"/>
  <c r="L110" i="6"/>
  <c r="P110" i="6"/>
  <c r="F113" i="6"/>
  <c r="Q90" i="6"/>
  <c r="L90" i="6"/>
  <c r="G90" i="6"/>
  <c r="M59" i="6"/>
  <c r="F59" i="6"/>
  <c r="C69" i="6"/>
  <c r="F71" i="6"/>
  <c r="G69" i="6"/>
  <c r="K69" i="6"/>
  <c r="O69" i="6"/>
  <c r="O21" i="6"/>
  <c r="F155" i="5"/>
  <c r="O149" i="5"/>
  <c r="J149" i="5"/>
  <c r="E149" i="5"/>
  <c r="F140" i="5"/>
  <c r="C54" i="5"/>
  <c r="D54" i="5"/>
  <c r="C90" i="5"/>
  <c r="G90" i="5"/>
  <c r="K90" i="5"/>
  <c r="O90" i="5"/>
  <c r="L59" i="5"/>
  <c r="N120" i="5"/>
  <c r="Q166" i="5"/>
  <c r="O3" i="5"/>
  <c r="O4" i="5"/>
  <c r="P4" i="5"/>
  <c r="Q4" i="5"/>
  <c r="F132" i="6"/>
  <c r="F134" i="6"/>
  <c r="F92" i="6"/>
  <c r="F94" i="6"/>
  <c r="F112" i="6"/>
  <c r="F153" i="6"/>
  <c r="F114" i="6"/>
  <c r="F161" i="6"/>
  <c r="F165" i="6"/>
  <c r="O22" i="6"/>
  <c r="F160" i="6"/>
  <c r="F164" i="6"/>
  <c r="G164" i="6"/>
  <c r="D175" i="6"/>
  <c r="G173" i="6"/>
  <c r="L59" i="6"/>
  <c r="O160" i="6"/>
  <c r="L80" i="6"/>
  <c r="L120" i="6"/>
  <c r="L140" i="6"/>
  <c r="L100" i="6"/>
  <c r="O22" i="5"/>
  <c r="F165" i="5"/>
  <c r="F169" i="5"/>
  <c r="D180" i="5"/>
  <c r="G178" i="5"/>
  <c r="F166" i="5"/>
  <c r="F170" i="5"/>
  <c r="F73" i="6"/>
  <c r="F153" i="5"/>
  <c r="O80" i="5"/>
  <c r="F95" i="5"/>
  <c r="F96" i="5"/>
  <c r="G157" i="5"/>
  <c r="O140" i="5"/>
  <c r="F154" i="5"/>
  <c r="C51" i="5"/>
  <c r="D51" i="5"/>
  <c r="C48" i="5"/>
  <c r="D48" i="5"/>
  <c r="O59" i="5"/>
  <c r="F74" i="5"/>
  <c r="F75" i="5"/>
  <c r="R166" i="5"/>
  <c r="O100" i="5"/>
  <c r="F115" i="5"/>
  <c r="O120" i="5"/>
  <c r="F135" i="5"/>
  <c r="G169" i="5"/>
  <c r="C48" i="6"/>
  <c r="D48" i="6"/>
  <c r="O100" i="6"/>
  <c r="F115" i="6"/>
  <c r="O120" i="6"/>
  <c r="F135" i="6"/>
  <c r="O80" i="6"/>
  <c r="F95" i="6"/>
  <c r="F96" i="6"/>
  <c r="G157" i="6"/>
  <c r="O59" i="6"/>
  <c r="F74" i="6"/>
  <c r="F75" i="6"/>
  <c r="J161" i="6"/>
  <c r="J169" i="6"/>
  <c r="O140" i="6"/>
  <c r="F154" i="6"/>
  <c r="C51" i="6"/>
  <c r="D51" i="6"/>
  <c r="R160" i="6"/>
  <c r="J166" i="5"/>
  <c r="J174" i="5"/>
  <c r="E25" i="7"/>
  <c r="C26" i="7"/>
  <c r="B29" i="7"/>
  <c r="C28" i="7"/>
  <c r="B31" i="7"/>
  <c r="D39" i="16"/>
  <c r="G31" i="12"/>
  <c r="G39" i="12"/>
  <c r="F41" i="12"/>
  <c r="G41" i="12"/>
  <c r="G38" i="12"/>
  <c r="G34" i="12"/>
  <c r="G37" i="12"/>
  <c r="E7" i="11"/>
  <c r="G7" i="11"/>
  <c r="E6" i="11"/>
  <c r="G6" i="11"/>
  <c r="G4" i="11"/>
  <c r="E8" i="11"/>
  <c r="G8" i="11"/>
  <c r="F42" i="12"/>
  <c r="G42" i="12"/>
  <c r="G25" i="12"/>
  <c r="G24" i="12"/>
  <c r="H24" i="12"/>
  <c r="H199" i="12"/>
</calcChain>
</file>

<file path=xl/sharedStrings.xml><?xml version="1.0" encoding="utf-8"?>
<sst xmlns="http://schemas.openxmlformats.org/spreadsheetml/2006/main" count="2085" uniqueCount="845">
  <si>
    <t>DIRETORIA DE SERVIÇOS TÉCNICOS</t>
  </si>
  <si>
    <t>Nº do protocolo:</t>
  </si>
  <si>
    <t>1. IDENTIFICAÇÃO DA OBRA</t>
  </si>
  <si>
    <t>1.1 Estabelecimento:</t>
  </si>
  <si>
    <t>Bairro:</t>
  </si>
  <si>
    <t>Município:</t>
  </si>
  <si>
    <t>Fone:</t>
  </si>
  <si>
    <t>X</t>
  </si>
  <si>
    <t>NÃO</t>
  </si>
  <si>
    <t>Carga</t>
  </si>
  <si>
    <t>-</t>
  </si>
  <si>
    <t>SIM</t>
  </si>
  <si>
    <t>Belém-PA,</t>
  </si>
  <si>
    <t>de</t>
  </si>
  <si>
    <t>Assinatura do responsável técnico</t>
  </si>
  <si>
    <t>PARA USO EXCLUSIVO DO CBMPA (SEÇÃO DE ANÁLISE DE PROJETO)</t>
  </si>
  <si>
    <t>Examinador</t>
  </si>
  <si>
    <t>CORPO DE BOMBEIROS MILITAR</t>
  </si>
  <si>
    <t>Cód. CBM</t>
  </si>
  <si>
    <t>1.2 Endereço:</t>
  </si>
  <si>
    <t>1.3</t>
  </si>
  <si>
    <t>1.4 Proprietário:</t>
  </si>
  <si>
    <t xml:space="preserve">1.5 Responsável técnico: </t>
  </si>
  <si>
    <t>Registro Profissional:</t>
  </si>
  <si>
    <r>
      <t>1.6 Área total construída (</t>
    </r>
    <r>
      <rPr>
        <sz val="9"/>
        <rFont val="Arial"/>
        <family val="2"/>
      </rPr>
      <t>m</t>
    </r>
    <r>
      <rPr>
        <vertAlign val="superscript"/>
        <sz val="9"/>
        <rFont val="Arial"/>
        <family val="2"/>
      </rPr>
      <t>2</t>
    </r>
    <r>
      <rPr>
        <sz val="10"/>
        <rFont val="Arial"/>
        <family val="2"/>
      </rPr>
      <t>):</t>
    </r>
  </si>
  <si>
    <t>ART:</t>
  </si>
  <si>
    <r>
      <t xml:space="preserve">1.7 </t>
    </r>
    <r>
      <rPr>
        <sz val="9"/>
        <rFont val="Arial"/>
        <family val="2"/>
      </rPr>
      <t>Classificação  da  edificação  quanto  à  sua ocupação (NBR 13714 ou Decreto 357):</t>
    </r>
  </si>
  <si>
    <t>2. DADOS EM FUNÇÃO DO TIPO DE SISTEMA ADOTADO</t>
  </si>
  <si>
    <t>Regulável</t>
  </si>
  <si>
    <t>01 (um) hidrante duplo</t>
  </si>
  <si>
    <t>02 (dois)</t>
  </si>
  <si>
    <t>03 (três)</t>
  </si>
  <si>
    <t>04 (quatro)</t>
  </si>
  <si>
    <t xml:space="preserve">3.1 Tipo de reservatório:  </t>
  </si>
  <si>
    <t>Elevado</t>
  </si>
  <si>
    <t>Subterrâneo</t>
  </si>
  <si>
    <t>Nível do piso</t>
  </si>
  <si>
    <t>4. DADOS DA SUCÇÃO</t>
  </si>
  <si>
    <t>NPSH calculado (m):</t>
  </si>
  <si>
    <t>5. DADOS DO RECALQUE</t>
  </si>
  <si>
    <t>Diâmetro da tubulação   (polegada):</t>
  </si>
  <si>
    <t>Vazão utilizada no cálculo da perda de carga (L/min):</t>
  </si>
  <si>
    <t>Comp. Equivalente a perdas de carga localizadas (m):</t>
  </si>
  <si>
    <t>Comprimento real da tubulaçao (m):</t>
  </si>
  <si>
    <t>Perda de carga unitária  (m/m):</t>
  </si>
  <si>
    <t>Perda de carga total   (mca):</t>
  </si>
  <si>
    <r>
      <t>OBS</t>
    </r>
    <r>
      <rPr>
        <u/>
        <sz val="9"/>
        <rFont val="Arial"/>
        <family val="2"/>
      </rPr>
      <t xml:space="preserve">: </t>
    </r>
    <r>
      <rPr>
        <sz val="9"/>
        <rFont val="Arial"/>
        <family val="2"/>
      </rPr>
      <t xml:space="preserve">No caso de serem utilizados mais de </t>
    </r>
    <r>
      <rPr>
        <b/>
        <sz val="9"/>
        <rFont val="Arial"/>
        <family val="2"/>
      </rPr>
      <t>02 (dois)</t>
    </r>
    <r>
      <rPr>
        <sz val="9"/>
        <rFont val="Arial"/>
        <family val="2"/>
      </rPr>
      <t xml:space="preserve"> hidrantes para o cálculo da bomba de incêndio, estes deverão ser anexados neste Memorial de Cálculo.</t>
    </r>
  </si>
  <si>
    <t>PAGINA 2/2</t>
  </si>
  <si>
    <t xml:space="preserve">OBS: Para efeito de cálculo de Potência da bomba, deverá ser feito totalmente pela NBR ou por IT. </t>
  </si>
  <si>
    <t>6.</t>
  </si>
  <si>
    <t>Cálculo da Bomba pela NBR 13714</t>
  </si>
  <si>
    <t xml:space="preserve">Cálculo da Bomba pela IT:             </t>
  </si>
  <si>
    <t>6.1. ALTURA GEOMÉTRICA</t>
  </si>
  <si>
    <t xml:space="preserve">a) Desnível entre o hidrante mais desfavorável hidraulicamente e o </t>
  </si>
  <si>
    <t xml:space="preserve">a) Desnível entre o hidrante mais desfavorável hidraulicamente </t>
  </si>
  <si>
    <t>ponto de tomada de água do reservatório (mca):</t>
  </si>
  <si>
    <t>e o ponto de tomada de água do reservatório (mca):</t>
  </si>
  <si>
    <t>6.2 PRESSÃO DISPONÍVEL</t>
  </si>
  <si>
    <t>a) Pressão disponível na ponta do esguicho (mca):</t>
  </si>
  <si>
    <t>6.3. DEMAIS PERDAS DE CARGAS</t>
  </si>
  <si>
    <t>6.2. PRESSÃO DISPONÍVEL</t>
  </si>
  <si>
    <t>6.3.1. Perda de carga da mangueira (mca):</t>
  </si>
  <si>
    <t>a) Pressão mínima no hidrante mais desfavorável (mca):</t>
  </si>
  <si>
    <t>6.3.2. Perda de carga no mangotinho (mca):</t>
  </si>
  <si>
    <t>6.3.3. Perda de carga no esguicho (mca):</t>
  </si>
  <si>
    <t>6.3. ALTURA MANOMÉTRICA</t>
  </si>
  <si>
    <t>a) (Hm) Altura Manométrica (m):</t>
  </si>
  <si>
    <t>6.4. ALTURA MANOMÉTRICA</t>
  </si>
  <si>
    <t>a)(Hm) Altura Manométrica (m):</t>
  </si>
  <si>
    <t>7.1 Potência Calculada (cv):</t>
  </si>
  <si>
    <t>7.2 Dados comerciais:</t>
  </si>
  <si>
    <t>Potência (cv):</t>
  </si>
  <si>
    <t>Vazão (m³/h):</t>
  </si>
  <si>
    <t>8. BOMBA AUXILIAR (JOCKEY)</t>
  </si>
  <si>
    <t xml:space="preserve">8.1 Existe Bomba Jockey no sistema?  </t>
  </si>
  <si>
    <t>Não</t>
  </si>
  <si>
    <t>Sim</t>
  </si>
  <si>
    <t>9. ALIMENTAÇÃO DA BOMBA DE INCÊNDIO (ELÉTRICA OU À COMBUSTÃO)</t>
  </si>
  <si>
    <t>Tipo:</t>
  </si>
  <si>
    <t>Elétrica, com ligação independente dos demais circuitos do prédio</t>
  </si>
  <si>
    <t>10. ACIONAMENTO E DESLIGAMENTO DA BOMBA PRINCIPAL</t>
  </si>
  <si>
    <t>10.1 Tipo:   -</t>
  </si>
  <si>
    <t>Acionamento Manual (local):</t>
  </si>
  <si>
    <t>Acionamento automático (dispositivo):</t>
  </si>
  <si>
    <t>Desligamento manual (local):</t>
  </si>
  <si>
    <t>11. ACIONAMENTO AUTOMÁTICO DA BOMBA AUXILIAR (JOCKEY)</t>
  </si>
  <si>
    <t>11.1 Dispositivo:</t>
  </si>
  <si>
    <t>Pressostato</t>
  </si>
  <si>
    <t>12. ALARME DO FUNCIONAMENTO DO SISTEMA PREVENTIVO</t>
  </si>
  <si>
    <t>12.1 Tipo:</t>
  </si>
  <si>
    <t>12.2 Dispositivo:</t>
  </si>
  <si>
    <t>13. PAINEL DE SINALIZAÇÃO</t>
  </si>
  <si>
    <t>13.1 Localização:</t>
  </si>
  <si>
    <t>14. TERMO DE RESPONSABILIDADE</t>
  </si>
  <si>
    <t>Responsabilizamo-nos, sob as penas da Lei, que as informações constantes neste memorial de cálculo, estão em conformidade com as Legislações e Normas Técnicas vigentes, para proteção da referida edificação em sua totalidade.</t>
  </si>
  <si>
    <t>Belém-PA</t>
  </si>
  <si>
    <t>Assinatura do responsável técnico:</t>
  </si>
  <si>
    <t>Assinatura do proprietário:</t>
  </si>
  <si>
    <t>_____________________________________</t>
  </si>
  <si>
    <t>____________________________________</t>
  </si>
  <si>
    <t>Memorial de Cálculo da Bomba</t>
  </si>
  <si>
    <t xml:space="preserve">Empresa: </t>
  </si>
  <si>
    <t>RTI 1</t>
  </si>
  <si>
    <t>Endereço:</t>
  </si>
  <si>
    <t>RTI 2</t>
  </si>
  <si>
    <t>Área Total:</t>
  </si>
  <si>
    <t>Dados sobre o sistema</t>
  </si>
  <si>
    <t xml:space="preserve">4.7 Altura de Sucção (mca): </t>
  </si>
  <si>
    <t>Desnível reservatório / Hidrante (Hd)</t>
  </si>
  <si>
    <t xml:space="preserve">Elevado </t>
  </si>
  <si>
    <t>Hidrante mais desfvorável</t>
  </si>
  <si>
    <t>Desnível até o reservatório</t>
  </si>
  <si>
    <t>+</t>
  </si>
  <si>
    <t>no nível</t>
  </si>
  <si>
    <t>Percurso de Sucção (m):</t>
  </si>
  <si>
    <t>Percurso de Recalque T1(m):</t>
  </si>
  <si>
    <t>Percurso de Recalque T2(m):</t>
  </si>
  <si>
    <t xml:space="preserve">Tubulação Sugerida (pol): </t>
  </si>
  <si>
    <t>Tubulação Sugerida T1(pol):</t>
  </si>
  <si>
    <t>Tubulação Sugerida T2(pol):</t>
  </si>
  <si>
    <t>Percurso de Recalque T3(m):</t>
  </si>
  <si>
    <t>Percurso de Recalque T4(m):</t>
  </si>
  <si>
    <t>Tubulação Sugerida T3(pol):</t>
  </si>
  <si>
    <t>Tubulação Sugerida T4(pol):</t>
  </si>
  <si>
    <t>área</t>
  </si>
  <si>
    <t>Tipo</t>
  </si>
  <si>
    <t>Tipo do sistema</t>
  </si>
  <si>
    <t>Vazão (L/min)</t>
  </si>
  <si>
    <t>RTI (L)</t>
  </si>
  <si>
    <t>Qtde Hidrantes desfavoráveis no cálculo</t>
  </si>
  <si>
    <t>Quantidade de mangotinho/hidrantes na rede</t>
  </si>
  <si>
    <t>HIDRANTE</t>
  </si>
  <si>
    <t>MANGOTINHO</t>
  </si>
  <si>
    <t>L/min</t>
  </si>
  <si>
    <t>L/s</t>
  </si>
  <si>
    <t>m³/h</t>
  </si>
  <si>
    <t>m³/s</t>
  </si>
  <si>
    <t>dm³/min</t>
  </si>
  <si>
    <t>Mangueira</t>
  </si>
  <si>
    <t>Requinte</t>
  </si>
  <si>
    <t>X1</t>
  </si>
  <si>
    <t>Poleg.</t>
  </si>
  <si>
    <t>mm</t>
  </si>
  <si>
    <t>Quant.</t>
  </si>
  <si>
    <t>x</t>
  </si>
  <si>
    <t>C</t>
  </si>
  <si>
    <t>Esguicho</t>
  </si>
  <si>
    <t>Tipo de material das tubulações</t>
  </si>
  <si>
    <t>Ferro Fundido s revestimento</t>
  </si>
  <si>
    <t>K</t>
  </si>
  <si>
    <t>l/m x Kpa^(-1/2)</t>
  </si>
  <si>
    <t>C=</t>
  </si>
  <si>
    <t>Aço Preto (tub seco)</t>
  </si>
  <si>
    <t>CALCULOS:</t>
  </si>
  <si>
    <t>Aço Preto (tub molhado)</t>
  </si>
  <si>
    <t>Ferro Galvanizado</t>
  </si>
  <si>
    <t>Velocidade</t>
  </si>
  <si>
    <t>V= Q/A</t>
  </si>
  <si>
    <t>V =&gt; Velocidade (m/s)</t>
  </si>
  <si>
    <t>Ferro Fundido c revestimento</t>
  </si>
  <si>
    <t>Q =&gt; Vazão (m³/s)</t>
  </si>
  <si>
    <t>Cobre</t>
  </si>
  <si>
    <t>A =&gt; Área (m²)</t>
  </si>
  <si>
    <t>Altura Manométrica Total (Hmt)</t>
  </si>
  <si>
    <t>Hmt = Ps + Pr + Pm + Pe + Pd + ou - Hd</t>
  </si>
  <si>
    <t>Ps</t>
  </si>
  <si>
    <t>Perdas na sução</t>
  </si>
  <si>
    <t>Pe</t>
  </si>
  <si>
    <t>Perdas no esguicho</t>
  </si>
  <si>
    <t>Pr</t>
  </si>
  <si>
    <t>Perdas no recalque</t>
  </si>
  <si>
    <t>Pd</t>
  </si>
  <si>
    <t>Pressão disponível</t>
  </si>
  <si>
    <t>Pm</t>
  </si>
  <si>
    <t>Perdas na mangueira</t>
  </si>
  <si>
    <t>Hd</t>
  </si>
  <si>
    <t>Desnível</t>
  </si>
  <si>
    <t>Quadro de conexões com respectivas quantidades e perdas localizadas:</t>
  </si>
  <si>
    <t>Cotovelo 90º Raio longo</t>
  </si>
  <si>
    <t>Registro de globo aberto</t>
  </si>
  <si>
    <t>Válvula de pé com crivo</t>
  </si>
  <si>
    <t>16 Bucha ou luva de redução (menor diâmetro)</t>
  </si>
  <si>
    <t>Cotovelo 90º Raio médio</t>
  </si>
  <si>
    <t>Registro de ângulo aberto</t>
  </si>
  <si>
    <t>Válvula de retenção leve</t>
  </si>
  <si>
    <t>Cotovelo 90º Raio curto (joelho)</t>
  </si>
  <si>
    <t>Tê passagem direta</t>
  </si>
  <si>
    <t>Válvula de retenção pesada</t>
  </si>
  <si>
    <t>Cotovelo 45º</t>
  </si>
  <si>
    <t>Tê saída de lado</t>
  </si>
  <si>
    <t>Entrada de Borda</t>
  </si>
  <si>
    <t>Registro de gaveta aberto</t>
  </si>
  <si>
    <t>Tê saída bilateral</t>
  </si>
  <si>
    <t>Tubulação retilínea</t>
  </si>
  <si>
    <t>Velocidade na Sucção (Vs)</t>
  </si>
  <si>
    <t>Velocidade (m/s)</t>
  </si>
  <si>
    <t>Velocidade no Recalque (Vr)</t>
  </si>
  <si>
    <t>Velocidade T1(m/s)</t>
  </si>
  <si>
    <t>Velocidade T2(m/s)</t>
  </si>
  <si>
    <t>Velocidade T3(m/s)</t>
  </si>
  <si>
    <t>Velocidade T4(m/s)</t>
  </si>
  <si>
    <t>Perdas de Carga na Sucção (Ps)</t>
  </si>
  <si>
    <t>Diâmetro da tubulação (Poleg.)</t>
  </si>
  <si>
    <t>m</t>
  </si>
  <si>
    <t>Conex</t>
  </si>
  <si>
    <t>Perdas 8"</t>
  </si>
  <si>
    <t>Perdas 6"</t>
  </si>
  <si>
    <t>Perdas 4"</t>
  </si>
  <si>
    <t>Perdas 3"</t>
  </si>
  <si>
    <t>Perdas 2 1/2"</t>
  </si>
  <si>
    <t>Perdas 2"</t>
  </si>
  <si>
    <t>Total</t>
  </si>
  <si>
    <t>Perdas nas conexões (comp. Equivalente) (m)</t>
  </si>
  <si>
    <t>Perda de Carga Unitária</t>
  </si>
  <si>
    <t>Perda de carga na Sucção</t>
  </si>
  <si>
    <t>Perdas na tubulação retilínea (comp. real) (m)</t>
  </si>
  <si>
    <t>J = (10,643 x Q^1,85) / (C^1,85 x D^4,87)</t>
  </si>
  <si>
    <t>Psuc = (Lreal + Lequiv.) x J</t>
  </si>
  <si>
    <t>Perdas totais (comp. total) (m)</t>
  </si>
  <si>
    <t>J = m/m</t>
  </si>
  <si>
    <t>Perda de carga Unitária (J=mca/m)</t>
  </si>
  <si>
    <t>Q = m³/s</t>
  </si>
  <si>
    <t>PERDAS DE CARGA NA SUCÇÃO (Ps) (mca)</t>
  </si>
  <si>
    <t>D = diametro da tubulação (m)</t>
  </si>
  <si>
    <t>Perdas de Carga no Recalque (Pr)</t>
  </si>
  <si>
    <t>Trecho 01</t>
  </si>
  <si>
    <t>Perda de carga no Recalque</t>
  </si>
  <si>
    <t>Prec = (Lreal + Lequiv.) x J</t>
  </si>
  <si>
    <t>PERDAS DE CARGA NA RECALQUE (Pr) (mca)</t>
  </si>
  <si>
    <t>D = diametro do recalque (m)</t>
  </si>
  <si>
    <t>Trecho 02</t>
  </si>
  <si>
    <t>Q</t>
  </si>
  <si>
    <t>Trecho 03</t>
  </si>
  <si>
    <t>Trecho 04</t>
  </si>
  <si>
    <t>PERDAS DE CARGA NO RECALQUE (Pr) (mca)</t>
  </si>
  <si>
    <t>item 5.3</t>
  </si>
  <si>
    <t>IT SP 22</t>
  </si>
  <si>
    <t>pressão no hidrante</t>
  </si>
  <si>
    <t>PERDAS DE CARGA NA MANGUEIRA (Pmg) (mca)</t>
  </si>
  <si>
    <t>ALTURA MANOMÉTRICA TOTAL (Hmt) (mca)</t>
  </si>
  <si>
    <t>J = (10,643 x Q^1,85) / (C^1,85 x D^4,87) =</t>
  </si>
  <si>
    <t>Hmt =  Ps + Pr + Pmg + Pe + Pd + ou - Hd</t>
  </si>
  <si>
    <t>C =</t>
  </si>
  <si>
    <t xml:space="preserve">Hmt = </t>
  </si>
  <si>
    <t>item 9.1</t>
  </si>
  <si>
    <t>ALTURA MANOMÉTRICA NA MANGUEIRA (Hf) (mca)</t>
  </si>
  <si>
    <t>IT SP</t>
  </si>
  <si>
    <t>H = J x Lmag =</t>
  </si>
  <si>
    <t>item 8.1 e 8.2</t>
  </si>
  <si>
    <t>PRESSÃO DISPONÍVEL no Esguicho (Pd) (mca)</t>
  </si>
  <si>
    <t>POTÊNCIA DA BOMBA (Pot) (Cv) - Calculada</t>
  </si>
  <si>
    <t>Pd = (Q^2 / K^2) / 10</t>
  </si>
  <si>
    <t>item 7.1</t>
  </si>
  <si>
    <t>Pot = 1000 x Hmt x Q / 75 x n</t>
  </si>
  <si>
    <t>Pd = mca</t>
  </si>
  <si>
    <t>n =</t>
  </si>
  <si>
    <t>Q = l/min</t>
  </si>
  <si>
    <t xml:space="preserve">Pot = </t>
  </si>
  <si>
    <t>K = l/min x kPa^(-1/2)</t>
  </si>
  <si>
    <t>PERDAS DE CARGA NO ESGUICHO (Pe) (mca)</t>
  </si>
  <si>
    <t>POTÊNCIA DA BOMBA (Pot) (Cv) - Adotada</t>
  </si>
  <si>
    <t>H = K x V^2 / (2 x G)</t>
  </si>
  <si>
    <t>item 8.3</t>
  </si>
  <si>
    <t>Pot =</t>
  </si>
  <si>
    <t xml:space="preserve">K = </t>
  </si>
  <si>
    <t>Rotor</t>
  </si>
  <si>
    <t>V = Velocidade (V=Q/A) =</t>
  </si>
  <si>
    <t>G = Gravidade (9,8 m/s²)</t>
  </si>
  <si>
    <t>POTÊNCIA DA BOMBA (Pot) (Cv) - Auxiliar</t>
  </si>
  <si>
    <t>Qtde Hidrantes/Mangotinhos:</t>
  </si>
  <si>
    <t>Mangot. (sim/não)</t>
  </si>
  <si>
    <t>não</t>
  </si>
  <si>
    <t>Tipo 1-Hidrante ==&gt; RTI  =</t>
  </si>
  <si>
    <t>Tipo 1-Mangotinho ==&gt; RTI  =</t>
  </si>
  <si>
    <t>Cotovelo 90º Raio curto</t>
  </si>
  <si>
    <t>Checagem de problemas com cavitação no sistema de Sucção da bomba Principal</t>
  </si>
  <si>
    <t>Cliente:</t>
  </si>
  <si>
    <t>Tabela</t>
  </si>
  <si>
    <t>Pressão de vapor em função da Temperatura e pressão atmosférica em função da altitude</t>
  </si>
  <si>
    <t>Temperatura (°C)</t>
  </si>
  <si>
    <t>Pressão de Vapor (mca)</t>
  </si>
  <si>
    <t>Altitude (m)</t>
  </si>
  <si>
    <t>Pressão Atmosférico (mca)</t>
  </si>
  <si>
    <t>NPSHd &gt; NPSHr</t>
  </si>
  <si>
    <t>NPSHd ==&gt; é uma característica da instalação</t>
  </si>
  <si>
    <t>NPSHr ==&gt; é uma característica da bomba</t>
  </si>
  <si>
    <t xml:space="preserve">NPSHd = </t>
  </si>
  <si>
    <t>Patm</t>
  </si>
  <si>
    <t>-hgs</t>
  </si>
  <si>
    <t>-hps</t>
  </si>
  <si>
    <t>-Pv</t>
  </si>
  <si>
    <t>y</t>
  </si>
  <si>
    <t>Belém</t>
  </si>
  <si>
    <t>onde</t>
  </si>
  <si>
    <t>=&gt; na altitude de 0 m do nível do mar</t>
  </si>
  <si>
    <t>Pv</t>
  </si>
  <si>
    <t>=&gt; na temperatura da água de 25º C</t>
  </si>
  <si>
    <t>hgs</t>
  </si>
  <si>
    <t>=&gt; altura geométrica (sucção x moto-bomba)</t>
  </si>
  <si>
    <t>hps</t>
  </si>
  <si>
    <t>=&gt; perda de carga na canalização de sucção</t>
  </si>
  <si>
    <t>NPSHr =</t>
  </si>
  <si>
    <t>&lt;== inserir valor da bomba fornecido pelo fabricante</t>
  </si>
  <si>
    <t>NPSHd =</t>
  </si>
  <si>
    <t>Logo:</t>
  </si>
  <si>
    <t>NPSHd</t>
  </si>
  <si>
    <t>NPSHr (+0,50)</t>
  </si>
  <si>
    <t>&lt;== no teste está sendo adotado um acréscimo de 0,50m para segurança do cálculo</t>
  </si>
  <si>
    <t>Portanto:</t>
  </si>
  <si>
    <t>AO CBMPA  - CORPO DE BOMBEIROS MILITAR DO PARÁ</t>
  </si>
  <si>
    <t>CAT – Centro de Atividades Técnicas</t>
  </si>
  <si>
    <t xml:space="preserve"> </t>
  </si>
  <si>
    <t>Encaminho anexo material (listado abaixo), para ser analisado pelo Corpo de bombeiros do Pará</t>
  </si>
  <si>
    <t>os Projetos de Combate a Incêndio e Pânico do:</t>
  </si>
  <si>
    <t xml:space="preserve">03 jogos (02 pranchas) Projeto de Arquitetura </t>
  </si>
  <si>
    <t>Estabelecimento:</t>
  </si>
  <si>
    <t>03 jogos (03 pranchas) Projeto de C. Incêndio</t>
  </si>
  <si>
    <t>03 vias Memorial Descritivo</t>
  </si>
  <si>
    <t>Municipio:</t>
  </si>
  <si>
    <t>02 vias de ART (Arquitetura e C. Incêndio)</t>
  </si>
  <si>
    <t>Área Construída (m²):</t>
  </si>
  <si>
    <t>m²</t>
  </si>
  <si>
    <t>02 vias de ART (Arquitetura)</t>
  </si>
  <si>
    <t>02 vias de ART (C. Incêndio)</t>
  </si>
  <si>
    <t>Anexos:</t>
  </si>
  <si>
    <t xml:space="preserve">02 jogos (02 pranchas) Projeto de Arquitetura </t>
  </si>
  <si>
    <t>03</t>
  </si>
  <si>
    <t>jogos</t>
  </si>
  <si>
    <t>(02</t>
  </si>
  <si>
    <t>pranchas)</t>
  </si>
  <si>
    <t xml:space="preserve">Projeto de Arquitetura </t>
  </si>
  <si>
    <t>(03</t>
  </si>
  <si>
    <t>Projeto de C. Incêndio</t>
  </si>
  <si>
    <t>(05</t>
  </si>
  <si>
    <t>Projeto de  Sprinklers</t>
  </si>
  <si>
    <t>03 vias Curva da Bomba principal e auxiliar e NPSH</t>
  </si>
  <si>
    <t>(04</t>
  </si>
  <si>
    <t>Projeto de Pressurização de Escada</t>
  </si>
  <si>
    <t xml:space="preserve">03 vias Memorial de Cálculo </t>
  </si>
  <si>
    <t>vias</t>
  </si>
  <si>
    <t>Memorial Descritivo</t>
  </si>
  <si>
    <t xml:space="preserve">Memorial de Cálculo </t>
  </si>
  <si>
    <t>Memorial de Cálculo  do Sprinklers</t>
  </si>
  <si>
    <t>Memorial de Cálculo  da Pressurização de Escada</t>
  </si>
  <si>
    <t>Curva da Bomba principal e auxiliar e NPSH</t>
  </si>
  <si>
    <t>ART</t>
  </si>
  <si>
    <t xml:space="preserve"> de Arquitetura  e C. Incêndio </t>
  </si>
  <si>
    <t xml:space="preserve"> de Arquitetura</t>
  </si>
  <si>
    <t xml:space="preserve"> de   C. Incêndio </t>
  </si>
  <si>
    <t xml:space="preserve"> de Pressurização de Escada</t>
  </si>
  <si>
    <t xml:space="preserve"> de GLP</t>
  </si>
  <si>
    <t>Agradecemos a vossa compreensão,</t>
  </si>
  <si>
    <t>02 jogos (04 pranchas) Projeto de C. Incêndio</t>
  </si>
  <si>
    <t>02 jogos (02 pranchas) Projeto de Pressurização de Escada</t>
  </si>
  <si>
    <t>02 jogos (02 pranchas) Projeto de Sprinklers</t>
  </si>
  <si>
    <t>02 vias Memorial Descritivo</t>
  </si>
  <si>
    <t>ALANE PATRICIA SOUSA SILVA</t>
  </si>
  <si>
    <t xml:space="preserve">02 vias Memorial de Cálculo </t>
  </si>
  <si>
    <t>CREA: 10.170 D/PA</t>
  </si>
  <si>
    <t>02 vias Memorial de Cálculo  do Sprinklers</t>
  </si>
  <si>
    <t>Engª Civil / Engª Seg. do Trabalho</t>
  </si>
  <si>
    <t>02 vias Curva da Bomba principal e auxiliar e NPSH</t>
  </si>
  <si>
    <t>Celular: (91) 8847-9106</t>
  </si>
  <si>
    <t>02 vias de ART (Arquitetura  e C. Incêndio)</t>
  </si>
  <si>
    <t>E-mail: alanesilva@oi.com.br</t>
  </si>
  <si>
    <t>02 vias de ART (Pressurização de Escada)</t>
  </si>
  <si>
    <t>02 vias de ART (Sprinklers)</t>
  </si>
  <si>
    <t>02 vias de ART (GLP)</t>
  </si>
  <si>
    <t>Recebido em ___/___/2013</t>
  </si>
  <si>
    <t xml:space="preserve">Protocolo nº </t>
  </si>
  <si>
    <t>_______________________</t>
  </si>
  <si>
    <t>assinatura</t>
  </si>
  <si>
    <t>nome</t>
  </si>
  <si>
    <t>A(O)</t>
  </si>
  <si>
    <t>Encaminho anexo material (listado abaixo), APROVADO pelo Corpo de bombeiros do Pará</t>
  </si>
  <si>
    <t>Anexo:</t>
  </si>
  <si>
    <t>02</t>
  </si>
  <si>
    <t>A</t>
  </si>
  <si>
    <t>B</t>
  </si>
  <si>
    <t>Item</t>
  </si>
  <si>
    <t>DESCRIÇÃO</t>
  </si>
  <si>
    <t>Unidade</t>
  </si>
  <si>
    <t>Preço(R$)</t>
  </si>
  <si>
    <t>Preço Total (R$)</t>
  </si>
  <si>
    <t>Preço Total Item (R$)</t>
  </si>
  <si>
    <t xml:space="preserve">Externo </t>
  </si>
  <si>
    <t>Interno</t>
  </si>
  <si>
    <t>Casa de Bombas</t>
  </si>
  <si>
    <t xml:space="preserve"> Suestação</t>
  </si>
  <si>
    <t>Guarita</t>
  </si>
  <si>
    <t>site</t>
  </si>
  <si>
    <t>INSTALAÇÕES DE PREVENÇÃO E COMBATE A INCÊNDIO</t>
  </si>
  <si>
    <t>Registro de hidrante Válvula angular 45º 2 1/2" x 5 FM 11/5 FM 150 LBS</t>
  </si>
  <si>
    <t>und</t>
  </si>
  <si>
    <t xml:space="preserve">Abrigo para hidrante externo de 90 x 120 x 30 cm composto com 04 mangueiras </t>
  </si>
  <si>
    <t>Mangueira 2 1/2 Tipo 2 com uniões tipo ER 15 m 2 1/2" sintex predial Tipo 2, adaptador Fº Gº 2 1/2" x 2 1/2", chave de engate rápido 1 1/2" x 2 1/2" em latão, esguicho 1 1/2" com jato regulável, uniões Fº Gº 2 1/2".</t>
  </si>
  <si>
    <t>Mangueira 1 1/2 Tipo 1 com uniões tipo ER 15 m 1 1/2" sintex predial Tipo 1, adaptador Fº Gº 2 1/2" x 1 1/2", chave de engate rápido 1 1/2" x 2 1/2" em latão, esguicho 1 1/2" com jato regulável, uniões Fº Gº 2 1/2".</t>
  </si>
  <si>
    <t xml:space="preserve">ADAPTADOR NAIRI 1 1/2" E.R x 2 1/2" 5 FF </t>
  </si>
  <si>
    <t>ESGUICHO NAIRI TIPO ELKHART 1 1/2" STORZ</t>
  </si>
  <si>
    <t>Hidrante de passeio composto com:  adaptador Fº Gº 2 1/2" x 2 1/2", chave de engate rápido 1 1/2" x 2 1/2" em latão, tampão cego 2 1/2", niple Fº Gº 2 1/2", caixa de Fº Fº 40 x 60 x 80 cm com tampa em Fº Fº com inscrição "Combate a Incêndio"</t>
  </si>
  <si>
    <t xml:space="preserve">Tubulação Fº Gº para rede de hidrantes 4" - composta por: tubo Fº Gº 4",  luva Fº Gº 4", Tê Fº Gº 4", Cotovelo 90º Fº Gº 4", Niple duplo Fº Gº 4" </t>
  </si>
  <si>
    <t>não usei na sucção, a diferença é minima</t>
  </si>
  <si>
    <t xml:space="preserve">Tubulação Fº Gº para rede de hidrantes 3" - composta por: tubo Fº Gº 3",  luva Fº Gº 3", Tê Fº Gº 3", Cotovelo 90º Fº Gº 3", Niple duplo Fº Gº 3" </t>
  </si>
  <si>
    <t xml:space="preserve">Tubulação Fº Gº para rede de hidrantes 2 1/2" - composta por: tubo Fº Gº 2 1/2",  luva Fº Gº 2 1/2", Tê Fº Gº 2 1/2", Cotovelo 90º Fº Gº 2 1/2", Niple duplo Fº Gº 2 1/2" </t>
  </si>
  <si>
    <t>ou</t>
  </si>
  <si>
    <t>Tubulação PVC  soldável para rede de hidrantes 3" - composta por: tubo 75mm, espessura da parede 4,2 mm, luva, Tê, Cotovelo 90º, Niple duplo</t>
  </si>
  <si>
    <t>Válvula de  gaveta de bronze Ø 3"</t>
  </si>
  <si>
    <t>Válvula de  gaveta de bronze Ø 2 1/2"</t>
  </si>
  <si>
    <t>Luminária de emergência, constituída de invólucro contendo lâmpada fluorescentes ou similares com fonte de energia com carregador e controles de supervisão, com autonomia mínima de 120 minutos de funcionamento</t>
  </si>
  <si>
    <t>Luminária de emergência tipo farol de milha, constituída de invólucro contendo lâmpada fluorescentes ou similares com fonte de energia com carregador e controles de supervisão, com autonomia mínima de 180 minutos de funcionamento</t>
  </si>
  <si>
    <t>Extintor de água pressurizada  - 10 L</t>
  </si>
  <si>
    <t>Extintor de incêndio - CO2 - 6 kg</t>
  </si>
  <si>
    <t>Extintor de incêndio ABC -  6 kg</t>
  </si>
  <si>
    <t>Extintor de incêndio Pó Quimico seco 12 kg</t>
  </si>
  <si>
    <t>Placa de sinalização de segurança fotoluminescente de alta intensidade luminosa em PVC rígido fotoluminescente com 2 mm de espessura, com superfície antiestáticapara, não inflamável, auto-extinguível para extintores e hidrantes 15 x 15 cm</t>
  </si>
  <si>
    <t>Placa de sinalização de segurança fotoluminescente de alta intensidade luminosa em PVC rígido fotoluminescente com 2 mm de espessura, com superfície antiestáticapara, não inflamável, auto-extinguível para balizamento, salvamento, alerta e comando 24 x 12 cm</t>
  </si>
  <si>
    <t>Placa de sinalização de segurança fotoluminescente de alta intensidade luminosa em PVC rígido fotoluminescente com 2 mm de espessura, com superfície antiestáticapara, não inflamável, auto-extinguível de proibição 15 x 15 cm</t>
  </si>
  <si>
    <t>Placa de sinalização de segurança fotoluminescente de alta intensidade luminosa em PVC rígido fotoluminescente com 2 mm de espessura, com superfície antiestáticapara, não inflamável, auto-extinguível  de orientação/salvamento 7 x 20 cm</t>
  </si>
  <si>
    <t>Acionador manual de alarme de incêndio, tipo "Quebra Vidro", com martelo pequeno e corrente</t>
  </si>
  <si>
    <t>Conjunto MOTOR BOMBA PRINCIPAL DIESEL  65CV, altura manométrica 135m.c.a. e vazão de 72,00 m³/h</t>
  </si>
  <si>
    <t>Conjunto MOTOR BOMBA PRINCIPAL partida elétrica  15CV, altura manométrica 64,09m.c.a. e vazão de 24,00 m³/h</t>
  </si>
  <si>
    <t>Conjunto MOTOR BOMBA JOKEY DIESEL  20CV, altura manométrica 135m.c.a. e vazão de 8,00 m³/h</t>
  </si>
  <si>
    <t>Conjunto MOTOR BOMBA JOKEY PARTIDA ELÉTRICA  20CV, altura manométrica 135m.c.a. e vazão de 8,00 m³/h</t>
  </si>
  <si>
    <t>Quadro  remoto da bomba em Fº Gº pintado com tinta eletrostática repetidor (guarita)</t>
  </si>
  <si>
    <t>Quadro sinalização e comando da bomba de incêndio em Fº Gº pintado com tinta eletrostática - casa de bomba</t>
  </si>
  <si>
    <t>Chave de fluxo</t>
  </si>
  <si>
    <t>Manômetro</t>
  </si>
  <si>
    <t>Válvula de retenção horizontal Ø 3"</t>
  </si>
  <si>
    <t>TOTAL DO ORÇAMENTO (COM BDI 30%)</t>
  </si>
  <si>
    <t>http://www.nairi.com.br/?q=node/11</t>
  </si>
  <si>
    <t>http://www.nairi.com.br/?q=node/14</t>
  </si>
  <si>
    <t>CAIXA ABRIGO PARA MANGUEIRA DE INCÊNDIO EXTERNA DE PENDURAR 90 X 120 X 30</t>
  </si>
  <si>
    <t>http://www.realfire.com.br/pesquisacat.asp?CodCategoria=18</t>
  </si>
  <si>
    <t>HIDRANTES DE COLUNA EM "T" COM 2 SAÍDAS</t>
  </si>
  <si>
    <t>http://www.saint-gobain-canalizacao.com.br/ln_valvulas/incendio_hc00.asp</t>
  </si>
  <si>
    <t>CHAVE DUPLA PARA CONEXÃO E.R. ENGATE RÁPIDO (STORZ) Ø 1.½" X 2.½" ESPESSURA 12 MM</t>
  </si>
  <si>
    <t>http://www.realfire.com.br/detalhe.asp?CodProduto=CH310</t>
  </si>
  <si>
    <t>Detectores de Fumaça (ponto)</t>
  </si>
  <si>
    <t>(09</t>
  </si>
  <si>
    <t>(</t>
  </si>
  <si>
    <t>Eng Civil / Eng Seg. do Trabalho</t>
  </si>
  <si>
    <t>Celular: (91) 8162-9903</t>
  </si>
  <si>
    <t>H4 E H3</t>
  </si>
  <si>
    <t>PLANILHA DE QUANTIDADES E PREÇOS</t>
  </si>
  <si>
    <t>1.</t>
  </si>
  <si>
    <t>SERVIÇOS PRELIMINARES</t>
  </si>
  <si>
    <t>Locação da obra</t>
  </si>
  <si>
    <t>Placa da obra</t>
  </si>
  <si>
    <t>Barracão de madeira</t>
  </si>
  <si>
    <t>Ligação provisória de água e esgoto</t>
  </si>
  <si>
    <t>Ligação provisória de luz e entrada de energia</t>
  </si>
  <si>
    <t>Ligação provisória de telefone</t>
  </si>
  <si>
    <t>Tapume</t>
  </si>
  <si>
    <t>2.</t>
  </si>
  <si>
    <t>SERVIÇOS INICIAIS</t>
  </si>
  <si>
    <t>Projeto Geotécnica de Fundações</t>
  </si>
  <si>
    <t>Projeto de Estrutura de Concreto</t>
  </si>
  <si>
    <t>Projeto de Acessibilidade</t>
  </si>
  <si>
    <t>18.</t>
  </si>
  <si>
    <t>Abrigo para hidrante, 90 x 60 x 17 cm composto com: duas mangueiras com uniões tipo ER 15 m 1 1/2" sintex predial Tipo 1, adaptador Fº Gº 2 1/2" x 2 1/2", chave de engate rápido 1 1/2" x 2 1/2" em latão, esguicho 1 1/2" com jato regulável, uniões Fº Gº 2 1/2", válvula angular 45º 2 1/2" x 5 FM 11/5 FM 150 LBS</t>
  </si>
  <si>
    <t xml:space="preserve">Tubulação Fº Gº para rede de hidrantes 2 1/2" - composta por: tubo Fº Gº 2 1/2", espessura da parede 3,35 mm NBR 5580L BSP, luva Fº Gº 2 1/2", Tê Fº Gº 2 1/2", Cotovelo 90º Fº Gº 2 1/2", Niple duplo Fº Gº 2 1/2" </t>
  </si>
  <si>
    <t>Tubulação Fº Gº para rede de hidrantes 3" - composta por: tubo Fº Gº 3", espessura da parede 3,35 mm NBR 5580L BSP, luva Fº Gº 3", Tê Fº Gº 3", Cotovelo 90º Fº Gº 3", Niple duplo Fº Gº 3"</t>
  </si>
  <si>
    <t>Placa de sinalização de segurança fotoluminescente de alta intensidade luminosa em PVC rígido fotoluminescente com 2 mm de espessura, com superfície antiestáticapara, não inflamável, auto-extinguível para, alarmes, extintores e hidrantes 15 x 15 cm</t>
  </si>
  <si>
    <t xml:space="preserve">Avisador sonoro e visual (alarme tipo sirene), 85dB </t>
  </si>
  <si>
    <t>Conjunto motobomba centrifuga, trifásica, potência 15 CV (partida elétrica), altura manométrica 63m.c.a. e vazão de 24,00 m³/h</t>
  </si>
  <si>
    <t>Conjunto motobomba centrifuga, trifásica, potência 3 CV (partida elétrica), altura manométrica 65m.c.a. e vazão de1,20 m³/h</t>
  </si>
  <si>
    <t>Quadro sinalização da bomba de incêndio repetidor  em Fº Gº pintado com tinta eletrostática</t>
  </si>
  <si>
    <t>Pressostato  Ø 2 1/2"</t>
  </si>
  <si>
    <t>Manometro  Ø 2 1/2"</t>
  </si>
  <si>
    <t>Chave de fluxo de bronze  Ø 3"</t>
  </si>
  <si>
    <t>Detectores (ver planilha de eletrica)</t>
  </si>
  <si>
    <t>19.</t>
  </si>
  <si>
    <t>INSTALAÇÕES ELÉTRICAS:</t>
  </si>
  <si>
    <t>SUBESTAÇÃO AÉREA</t>
  </si>
  <si>
    <t>Subestação com transformador trifásico de 225 kVA tipo pedestal, ligações primarias (AT) 13.800 – 13.200 – 12.600 V, triangulo ligações secundarias (BT) 220/127v, estrelar, 60HZ, equipado com buchas do tipo inserto de 250 A,  no padrão exigido pela REDE C</t>
  </si>
  <si>
    <t>ILUMINAÇÃO E TOMADAS</t>
  </si>
  <si>
    <t>Cabo unipolar 6 mm² 1kV. Pirelli ou similar</t>
  </si>
  <si>
    <t>Cabo unipolar 10 mm² 1kV. Pirelli ou similar</t>
  </si>
  <si>
    <t>Cabo unipolar 120 mm² 1kV. Pirelli ou similar</t>
  </si>
  <si>
    <t>Cabo unipolar 185 mm² 1kV. Pirelli ou similar</t>
  </si>
  <si>
    <t>Caixa de Passagem de Embutir Piso 20x20cm. Tigre ou Similar</t>
  </si>
  <si>
    <t>Luminária de embutir para duas lâmpadas fluorescentes de 32 W com aletas,  fab. LUMICENTER OU SIMILAR</t>
  </si>
  <si>
    <t>und.</t>
  </si>
  <si>
    <t>Luminária de embutir para duas lâmpadas fluorescentes de 16 W com aletas,  fab. LUMICENTER OU SIMILAR</t>
  </si>
  <si>
    <t>Lâmpada fluorescente 32W S-85</t>
  </si>
  <si>
    <t>Lâmpada fluorescente 16W S-85</t>
  </si>
  <si>
    <t>Reator eletrônico 2x32W AFP 60Hz bivolt</t>
  </si>
  <si>
    <t>Reator eletrônico 2x16W AFP 60Hz bivolt</t>
  </si>
  <si>
    <t>Eletrocalha perfurada (100x50)mm</t>
  </si>
  <si>
    <t>Interruptor universal simples, 10A-250V, com tampa instalado na parede em caixa(4"x2"), Fab. Pial ou similar.</t>
  </si>
  <si>
    <t>Interruptor universal duas teclas, 10A-250V, com tampa instalado na parede em caixa(4"x2"), Fab. Pial ou similar.</t>
  </si>
  <si>
    <t>Interruptor universal três teclas, 10A-250V, com tampa instalado na parede em caixa(4"x2"), Fab. Pial ou similar.</t>
  </si>
  <si>
    <t>Tomada universal, 2P+T, 10A-250V,com tampa instalada na parede em caixa(4"x2"), fab. PIAL ou similar.</t>
  </si>
  <si>
    <t>Ponto de luz</t>
  </si>
  <si>
    <t>pt</t>
  </si>
  <si>
    <t>ENERGIA ESTABILIZADA</t>
  </si>
  <si>
    <t>Tomada pino chato do tipo 2P+T, 15A-250V,instalada na parede, em caixa</t>
  </si>
  <si>
    <t>CENTROS DE DISTRIBUIÇÃO</t>
  </si>
  <si>
    <t>Centro de distribuição metálico(QDLT-INF01), de embutir, com barramento trifásico, In=100A, barramento de neutro, barramento de terra, capacidade para 32 disjuntores, padrão IEC, equipado com disjuntores, DR's e protetores de surto, conforme diagrama unif</t>
  </si>
  <si>
    <t>QF-ELEVADOR 01</t>
  </si>
  <si>
    <t>Quadro de Força para ar condicionado, de sobrepor com barramento trifásico, 600A, conforme diagrama Unifilar</t>
  </si>
  <si>
    <t>Quadro de bombas de Recalque QB-REC</t>
  </si>
  <si>
    <t>Quadro de bombas de Incêndio QB-INC</t>
  </si>
  <si>
    <t>20.</t>
  </si>
  <si>
    <t>INSTALAÇÕES TELEFÔNICAS E REDE DE DADOS</t>
  </si>
  <si>
    <t>TELEFONE</t>
  </si>
  <si>
    <t>Central telefônica padrão INTELBRAS</t>
  </si>
  <si>
    <t>Ponto para telefone, inclusive fiação</t>
  </si>
  <si>
    <t>REDE DE DADOS</t>
  </si>
  <si>
    <t>Bastidor metálico de 19” com porta frontal de acrílico fumê com chave, altura de 44U, na cor cinza munssel 6.5, completo, com acessorios</t>
  </si>
  <si>
    <t>unid</t>
  </si>
  <si>
    <t>Bastidor de distribuição (“RACK TORRE”), altura 44U, de fixação no piso, estrutura parafusada, na cor cinza munssel 6.5, completo, com acessórios.</t>
  </si>
  <si>
    <t>Cabo de par trançado não blindado (UTP) de 4 pares, 24 AWG, com condutores de cobre rígidos com isolação em polietileno de alta densidade, totalmente compatível com os padrões para categoria 6A, com capa em PVC e de espessura mínima de 0,58 mm, resistindo</t>
  </si>
  <si>
    <t>Cabo de par trançado não blindado (UTP) de 25 pares, 24 AWG, com condutores de cobre rígidos com isolação em polietileno de alta densidade, totalmente compatível com os padrões para categoria 6A, com capa em PVC e de espessura mínima de 0,58 mm, resistind</t>
  </si>
  <si>
    <t>“Patch Cable” Cat6, com 1,5 metros de comprimento, com conectores nas extremidades tipo RJ45. Ref. fabr. FURUKAWA ou similar.</t>
  </si>
  <si>
    <t>ud</t>
  </si>
  <si>
    <t xml:space="preserve">Espelho universal no formato 4"x2" para dois conectores fêmea do tipo RJ-45 8 vias com porta etiqueta retrátil. Fab. FURUKAWA ou similar. </t>
  </si>
  <si>
    <t>Conector RJ-45 fêmea categoria 6, modular de 8 posições, com contatos do tipo IDC na parte traseira e conector do tipo RJ-45 fêmea na parte frontal para conexão de conectores RJ-45 e RJ-11 machos. que atenda totalmente os requisitos de categoria 6, obedec</t>
  </si>
  <si>
    <t>Eletroduto de PVC, rígido, rosqueável, não propagante a chama, Ø1", fab. Tigre ou similar.</t>
  </si>
  <si>
    <t>vr</t>
  </si>
  <si>
    <t xml:space="preserve">Eletrocalha lisa, tipo "U", largura 300 e aba de 50mm, com tampa de encaixe lisa em chapa de aço carbono, galvanização por imersão a quente, a 1010, em chapa nº 18 MSG de aço carbono, peça em 3000 mm. </t>
  </si>
  <si>
    <t>Vr</t>
  </si>
  <si>
    <t>Caixa de PVC “4x2”, fab. Cemar ou similar</t>
  </si>
  <si>
    <t>21.</t>
  </si>
  <si>
    <t>INSTALAÇÃO DE CIRCUITO FECHADO DE TV (CFTV) E ALARME DE PRESENÇA</t>
  </si>
  <si>
    <t xml:space="preserve">Camera profissional CCD Daynight 3,6mm </t>
  </si>
  <si>
    <t>Cabo UTP cat. 6A</t>
  </si>
  <si>
    <t>Conector para cabo UTP</t>
  </si>
  <si>
    <t>Fonte de alimentação de 500 mA</t>
  </si>
  <si>
    <t>Eletrocalha Galvanizada ventilada 300x300mm</t>
  </si>
  <si>
    <t>Suporte para câmera grande</t>
  </si>
  <si>
    <t>Parafuso 6mm</t>
  </si>
  <si>
    <t>Bucha 6 mm</t>
  </si>
  <si>
    <t>Cabo Paralelo 2x2,5mm</t>
  </si>
  <si>
    <t>Monitor LCD de 19"</t>
  </si>
  <si>
    <t>DVR 32 canais profissional</t>
  </si>
  <si>
    <t>Eletroduto Espiral de 3/4"</t>
  </si>
  <si>
    <t xml:space="preserve">Espiroduto </t>
  </si>
  <si>
    <t xml:space="preserve">Tomada 4x2" </t>
  </si>
  <si>
    <t>Quadro de Distribuição para 24 disjuntores</t>
  </si>
  <si>
    <t>Disjuntor Monopolar de 10 A</t>
  </si>
  <si>
    <t>22.</t>
  </si>
  <si>
    <t>INSTALAÇÃO DE PROTEÇÃO CONTRA DESCARGA ATMOSFÉRICA</t>
  </si>
  <si>
    <t>Pára-raios tipo FRANKLIN, com 4 pontas, rosca 3/4" externo, aço inoxidável, H=350mm, ref. TEL-030, fab. Termotécnica ou similar.</t>
  </si>
  <si>
    <t>Mastro simples com redução para 3/4", H=3m, Ø2", ref TEL-474, fab. Termotécnica ou similar.</t>
  </si>
  <si>
    <t>Base de ferro fundido para mastro, Ø2", com 4 furos, ref. TEL-070, fab. Termotécnica ou similar.</t>
  </si>
  <si>
    <t>Abraçadeira guias simples para mastro com 2 descidas, Ø2", fab. Termotécnica ou similar.</t>
  </si>
  <si>
    <t>Abraçadeira guias reforçadas para mastro com 2 descidas, Ø2", fab. Termotécnica ou similar.</t>
  </si>
  <si>
    <t>Terminal aéreo H=35cm, Ø3/8", com bandeirinha a 5cm, ref. TEL-043, fab. Termotécnica ou similar.</t>
  </si>
  <si>
    <t>Conector com rabicho para terminal aéreo com bandeirinha, ref. TEL-620, fab.Termotécnica ou similar.</t>
  </si>
  <si>
    <t>Suporte guia curto, H=5cm, ref. TEL-241, fab. Termotécnica ou similar.</t>
  </si>
  <si>
    <t>Cabo de cobre #50mm², nú.</t>
  </si>
  <si>
    <t>kit de Solda Exotérmica</t>
  </si>
  <si>
    <t>Haste de terra cobreada Ø5/8"x3000mm</t>
  </si>
  <si>
    <t>Caixa de inspeção (30x30x30)cm</t>
  </si>
  <si>
    <t>Eletroduto de PVC, rigido, anti-chama, fab.TIGRE ou similar, Ø1"</t>
  </si>
  <si>
    <t>Luva de PVC, rigido, anti-chama, fab.TIGRE ou similar, Ø1"</t>
  </si>
  <si>
    <t>23.</t>
  </si>
  <si>
    <t>INSTALAÇÃO DE DETECÇÃO E ALARME DE INCÊNDIO</t>
  </si>
  <si>
    <t>Central de Supervisão e Alarme de Incêndio, microprocessada, endereçável, classe "A", com capacidade para 1 laço de supervisão, inclusive tubulação em eletroduto de Fº Gº e acessórios para fixação</t>
  </si>
  <si>
    <t>Detector de fumaça, tipo ótico, endereçável, com base simples 2F</t>
  </si>
  <si>
    <t>Detector Termovelocimétrico 57º C, endereçável, com base simples 2F</t>
  </si>
  <si>
    <t>Módulo de expansão Multiplex</t>
  </si>
  <si>
    <t>Módulo de entrada / saída</t>
  </si>
  <si>
    <t>Acionador manual, endereçável, para instalação em caixa embutida</t>
  </si>
  <si>
    <t>Indicador Sonoro, 85dB</t>
  </si>
  <si>
    <t>FMM-100BB-RCx de inst do Ac. Man Int, Verm. (FMM-100-R) USD 32,20ESD 64,402NS</t>
  </si>
  <si>
    <t>24.</t>
  </si>
  <si>
    <t>INSTALAÇÃO DE CONDICIONAMENTO DE AR E VENTILAÇÃO MECÂNICA</t>
  </si>
  <si>
    <t>EQUIPAMENTOS</t>
  </si>
  <si>
    <t>Fornecimento e instalação de conjunto condensador e evaporador Air split, tipo parede, capacidade 0,75TR, 9.000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</si>
  <si>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1TR, 12.000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</si>
  <si>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1,5TR, 18.000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</si>
  <si>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parede, capacidade 50TR, 60.000 BTU/h, Selo Procel faixa A de consumo energético, inclusive tubulação de cobre e conexões, dreno com isolamento em tubo de espuma elastomérica, calço de borracha, gases, suporte metálico das unidades, relatório de partida e projeto "as built"</t>
  </si>
  <si>
    <t>Fornecimento e instalação de conjunto condensador e evaporador Air split, tipo cassete, capacidade 5,0TR, 60.000 BTU/h, Selo Procel faixa A de consumo energético, inclusive tubulação de cobre e conexões, dreno com isolamento em tubo de espuma elastomérica, calço de borracha, gases, suporte metálico das unidades, relatório de partida e projeto "as built"</t>
  </si>
  <si>
    <t>INSTALAÇÕES DE TRANSPORTE VERTICAL</t>
  </si>
  <si>
    <t>Fornecimento e instalação de Elevador tipo comercial-social, modelo A-GNC-810-9A-MD, duas paradas, capacidade para 630kg (8 passageiros), velocidade de 1m/s, cabina com dimensões de 1,10 x 1,40m, portas portas da cabina e odo pavimento em dois painéis em aço inox escovado abrindo ao centro e vão livre de 0,90 x 2,00m, cabina com painéis em aço inox escovado, cantos arrendondados, teto decorativo curvo, com acabamento de piso em granito cinza, com espelho de fundo, motor localizado dentro do passadiço na última altura, com tração de 220V 3F, 60hz.</t>
  </si>
  <si>
    <t>Plataforma elevatória para deficiente físico composta por: Coluna estrutural em chapa de aço reforçada, cabine em piso antiderrapante e estrutura de tração composta de perfis estruturais com uma guia central de tração e duas guias laterais de direcionamento. Casa de máquinas incorporada na própria coluna de tração, na posição superior e composta de dois motores de 1/3 de HP interligados por central eletrônica de comando. Fusíveis de proteção contra sobrecarga. Tração pPor meio de motoredutores duplos e fusos duplos guiados por guias em perfis extrudados de alumínio, buchas de tração e 2 (duas) buchas extras de segurança que funcionam sem carga. Em caso de desgaste da rosca das 4 buchas principais as 2 buchas de segurança sustentam a plataforma já que ficarão automaticamente sob carga. A plataforma utiliza contrapesos para equilíbrio da cabine e sua velocidade é de 2,68m/min. O acionamento é por meio de   botoeiras tipo pressão constante na  coluna, tanto na parte inferior quanto na parte superior e na cabine para subir e descer, botoeira de emergência, chave de desligamento geral do elevador, limitadores de percurso (fins de curso automáticos) tanto na subida quanto na descida, carga permitida de 210kgf  ou 1 passageiro, sua cadeira de rodas mais acompanhante</t>
  </si>
  <si>
    <t>27.</t>
  </si>
  <si>
    <t>SERRALHERIA</t>
  </si>
  <si>
    <t>Guarda corpo em aço inox para colocação de vidro</t>
  </si>
  <si>
    <t>Corrimão tubular diâmetro 4,50 cm em aço escovado</t>
  </si>
  <si>
    <t>28.</t>
  </si>
  <si>
    <t>ISOLAMENTO TÉRMICO E ACÚSTICO</t>
  </si>
  <si>
    <t>Piso - Placas de madeira de 7mm sobre Placas de madeira de 4mm sobre manta de polietileno 2mm</t>
  </si>
  <si>
    <t>Forro - Chapa de gesso acartonado removível</t>
  </si>
  <si>
    <t>Janela termoacústica com vidros termoacústicos duplos de 6 e 4 mm com câmara de ar desidratada e selada mecanicamente com espaçamento de 4 a 5 mm entre eles, redução sonora de até 30dB (A)</t>
  </si>
  <si>
    <t>Porta acústica em madeira com folha simples e preenchida com produtos acústicos de alta densidade e bloqueio de vazamento sonoro com barra telescópica na base da porta. Batente em chapa de aço carbono. Folhas externas e internas em aço carbono. Perfil para acabamento no entorno da porta em chapa em aço carbono. Miolo em madeira maciça. Espessura da folha de 40mm. Perfil de borracha para vedação da porta no entorno do batente. Dobradiças helicoidais apropriadas ao serviço 4 pçs. As dobradiças são montadas externamente a folha e ao batente. Peso aproximado de 30. Kg/m² sem considerar batente. Todo material em aço carbono recebe limpeza mecânica, desengraxe e aplicação de fundo óxido. Isolamento acústico na faixa de 30dB a 35dB (STC).</t>
  </si>
  <si>
    <t>Divisória acústica articulada com sitema multidirecional, vedações mecânicas retráteis inferiores e superiores para travamento do painel, fechamento horizontal com painel extensível, construção em aço estrutural anticorrosivo, faces em gesso e aço, bordas de proteção lateral, sistema de trilhos de alta performance, painéis com troles duplos, intersecções pré-soldads e pré-fabricadas</t>
  </si>
  <si>
    <t>29.</t>
  </si>
  <si>
    <t>ELEMENTOS DECORATIVOS</t>
  </si>
  <si>
    <t>SINALIZAÇÃO</t>
  </si>
  <si>
    <t>Iluminação decorativa com led embutida na mureta frontal</t>
  </si>
  <si>
    <t>30.</t>
  </si>
  <si>
    <t>ACESSIBILIDADE</t>
  </si>
  <si>
    <t>Piso tátil alerta/direcional em placas de borracha 25 x 25 cm, cor preto, assentado com cola</t>
  </si>
  <si>
    <t>Piso tátil alerta/direcional em ladrilho hidráulico 40 x 40 cm, assentado com argamassa pré fabricada</t>
  </si>
  <si>
    <t>Película adesiva opaca dimensões 15 x 15 cm, contendo símbolo internacional de acesso</t>
  </si>
  <si>
    <t>Placa em acrílico dimensões 15 x 15 cm, contendo símbolo internacional de acesso</t>
  </si>
  <si>
    <t>Placa em acrílico para indicação de sanitário unissex acessível</t>
  </si>
  <si>
    <t>Placa em acrílico dimensões 20 x 22 cm, para indicação de escadas</t>
  </si>
  <si>
    <t>Placa em acrílico dimensões 20 x 22 cm, para indicação de rampas</t>
  </si>
  <si>
    <t>Placa em acrílico dimensões 20 x 22 cm, para indicação de elevadores</t>
  </si>
  <si>
    <t>Sinalização tátil para indicação de sanitário unissex acessível, com inscrições em braille e relevo, dimensões 20 x 10 cm</t>
  </si>
  <si>
    <t>Sinalização tátil para indicação de escadas, com inscrições em braille e relevo, dimensões 20 x 10 cm</t>
  </si>
  <si>
    <t>Sinalização tátil para indicação de rampas, com inscrições em braille e relevo, dimensões 20 x 10 cm</t>
  </si>
  <si>
    <t>Sinalização tátil para indicação de elevadores com inscrições em braille e relevo, dimensões 20 x 10 cm</t>
  </si>
  <si>
    <t>Sinalização tátil para corrimão com inscrições em braille e relevo, dimensões 60 x 15 mm</t>
  </si>
  <si>
    <t>Sinalização tátil do tipo anel de borracha texturizada para corrimões de rampas e escadas</t>
  </si>
  <si>
    <t>Sinalização visual e tátil de emergência em acrílico, inscrições em relevo, fotoluminescente, com inscrição em braille, indicando botão de comando do alarme sonoro, dimensão 20 x 20 cm para sanitários acessíveis</t>
  </si>
  <si>
    <t>Mapa tátil com suporte em braille</t>
  </si>
  <si>
    <t>31.</t>
  </si>
  <si>
    <t>URBANIZAÇÃO E PAISAGISMO</t>
  </si>
  <si>
    <t>PAISAGISMO</t>
  </si>
  <si>
    <t>Plantio de grama em mudas, inclusive terra e adubo</t>
  </si>
  <si>
    <t>Plantio de arbusto regional, inclusive terra e adubo</t>
  </si>
  <si>
    <t>32.</t>
  </si>
  <si>
    <t>LIMPEZA E ENTREGA DA OBRA</t>
  </si>
  <si>
    <t>Limpeza geral e permanente da obra inclusive remoção de entulho</t>
  </si>
  <si>
    <t>ENCERAMENTO E LUSTRAÇÃO</t>
  </si>
  <si>
    <t>Limpeza de pisos</t>
  </si>
  <si>
    <r>
      <t>cc</t>
    </r>
    <r>
      <rPr>
        <b/>
        <sz val="10"/>
        <rFont val="Arial"/>
        <family val="2"/>
      </rPr>
      <t>MEMORIAL DESCRITIVO E CÁLCULO</t>
    </r>
    <r>
      <rPr>
        <b/>
        <sz val="10"/>
        <color indexed="9"/>
        <rFont val="Arial"/>
        <family val="2"/>
      </rPr>
      <t>cc</t>
    </r>
    <r>
      <rPr>
        <b/>
        <sz val="10"/>
        <rFont val="Arial"/>
        <family val="2"/>
      </rPr>
      <t xml:space="preserve">                                  SISTEMA DE CHUVEIROS AUTOMÁTICOS (SPRINKLERS)</t>
    </r>
  </si>
  <si>
    <t>1.8 Risco:</t>
  </si>
  <si>
    <t>Leve</t>
  </si>
  <si>
    <t>Ordinário</t>
  </si>
  <si>
    <t>Extra ou Extraordiário</t>
  </si>
  <si>
    <t>1.9 Grupo conforme NBR 10897 /2007:</t>
  </si>
  <si>
    <t>2. CARACTERÍSTICAS DA EDIFICAÇÃO</t>
  </si>
  <si>
    <t>2.1 Número de Pavimentos:</t>
  </si>
  <si>
    <t>2.7 Área dos pavimentos:</t>
  </si>
  <si>
    <t>2.2 Número de Pavimentos Tipo:</t>
  </si>
  <si>
    <t>a) Tipo (m²):</t>
  </si>
  <si>
    <t>2.3 Possui Cobertura?</t>
  </si>
  <si>
    <t>b) Cobertura (m²):</t>
  </si>
  <si>
    <t>2.4 Possui mezanino?</t>
  </si>
  <si>
    <t>c) Mezanino (m²):</t>
  </si>
  <si>
    <t>2.5 Possui Térreo?</t>
  </si>
  <si>
    <t>d) Térreo (m²):</t>
  </si>
  <si>
    <t>2.6. Possui Subsolo?</t>
  </si>
  <si>
    <t>e) Subsolo (m²):</t>
  </si>
  <si>
    <t>3. CARACTERÍSTICAS DO SISTEMA DE CHUVEIROS AUTOMÁTICOS</t>
  </si>
  <si>
    <t>3.1 Norma Adotada:</t>
  </si>
  <si>
    <t>3.6 Tempo mínimo de funcionamento:</t>
  </si>
  <si>
    <t>3.2 Sistema Adotado:</t>
  </si>
  <si>
    <t>3.3 Tipo:</t>
  </si>
  <si>
    <t>3.7 Tipo de reservatório:</t>
  </si>
  <si>
    <t>3.4  Cálculo por tabelas:</t>
  </si>
  <si>
    <t>a) Pressão mínima no chuveiro (mca):</t>
  </si>
  <si>
    <t>3.8 Volume da reserva técnica de incêndio (RTI):</t>
  </si>
  <si>
    <t>b) Vazão Mínima nos chuveiros (l/min):</t>
  </si>
  <si>
    <t>a) Cálculo por tabelas (m³):</t>
  </si>
  <si>
    <t>3.5 Cálculo Hidráulico:</t>
  </si>
  <si>
    <t>b) Cálculo Hidráulico (m³):</t>
  </si>
  <si>
    <t>4. CARACTERÍSTICAS DA INSTALAÇÃO</t>
  </si>
  <si>
    <t>4.1  Canalizações:</t>
  </si>
  <si>
    <t>4.3 Conexões:</t>
  </si>
  <si>
    <t>a) Tipo de Material:</t>
  </si>
  <si>
    <t>a) Material:</t>
  </si>
  <si>
    <t>b)  Coeficiente de H.Williams:</t>
  </si>
  <si>
    <t>b) Solda:</t>
  </si>
  <si>
    <t>4.2 Diâmetro do Chuveiro Adotado (mm):</t>
  </si>
  <si>
    <t>c) Rosca:</t>
  </si>
  <si>
    <t>5. QUADRO DE RESULTADOS</t>
  </si>
  <si>
    <t>5.1 Sistema de bombas</t>
  </si>
  <si>
    <t>5.2 Abastecimento de água</t>
  </si>
  <si>
    <t>5.3 Equipamentos</t>
  </si>
  <si>
    <t>a) Bomba principal:</t>
  </si>
  <si>
    <t>a) Reservatório:</t>
  </si>
  <si>
    <t>a) Canalizações:</t>
  </si>
  <si>
    <t>Pressão:</t>
  </si>
  <si>
    <t>Reserva de incêndio:</t>
  </si>
  <si>
    <t>Coluna de incêndio</t>
  </si>
  <si>
    <t>Vazão:</t>
  </si>
  <si>
    <t>b) Chuveiros automáticos</t>
  </si>
  <si>
    <t>Sucção</t>
  </si>
  <si>
    <t>Motor:</t>
  </si>
  <si>
    <t>Vazão Mínima (l/min):</t>
  </si>
  <si>
    <t>b) Conexões:</t>
  </si>
  <si>
    <t>Acionamento:</t>
  </si>
  <si>
    <t>Pressão Mínima (Kpa):</t>
  </si>
  <si>
    <t>c) Chuveiros automáticos</t>
  </si>
  <si>
    <t>Desligamento:</t>
  </si>
  <si>
    <t>Fator de Vazão:</t>
  </si>
  <si>
    <t>Orientação:</t>
  </si>
  <si>
    <t>b) Bomba de pressurização (Jockey):</t>
  </si>
  <si>
    <t>Acionador:</t>
  </si>
  <si>
    <t>c) Tempo de operação (min):</t>
  </si>
  <si>
    <t>d) Área de aplicação (m²):</t>
  </si>
  <si>
    <t>Diâmetro Nominal:</t>
  </si>
  <si>
    <t>e) Área (m²):</t>
  </si>
  <si>
    <t>Temperatura de acionamento:</t>
  </si>
  <si>
    <t>f) Densidade de água (mm/min):</t>
  </si>
  <si>
    <t>Área de cobertura:</t>
  </si>
  <si>
    <t>g) Número de chuveiros:</t>
  </si>
  <si>
    <t>Espaçamento (m):</t>
  </si>
  <si>
    <t>6. TERMO DE RESPONSABILIDADE</t>
  </si>
  <si>
    <t xml:space="preserve">Responsabilizamo-nos sob as penas da lei, que as informações constantes neste memorial, estão em conformidade com as legislações e </t>
  </si>
  <si>
    <t>Normas Técnicas vigentes, para proteção da referida edificação em sua totalidade (Este memorial contêm 02 (duas) Páginas).</t>
  </si>
  <si>
    <t xml:space="preserve">            Chefe do CAT</t>
  </si>
  <si>
    <t>Vazão</t>
  </si>
  <si>
    <t>Diâmetro</t>
  </si>
  <si>
    <t>Comprimento</t>
  </si>
  <si>
    <t>Perda</t>
  </si>
  <si>
    <t>O</t>
  </si>
  <si>
    <t>T</t>
  </si>
  <si>
    <t>D</t>
  </si>
  <si>
    <t>Pressão</t>
  </si>
  <si>
    <t>H</t>
  </si>
  <si>
    <t>R</t>
  </si>
  <si>
    <t>E</t>
  </si>
  <si>
    <t>F</t>
  </si>
  <si>
    <t>S</t>
  </si>
  <si>
    <t>U</t>
  </si>
  <si>
    <t>V</t>
  </si>
  <si>
    <t>N</t>
  </si>
  <si>
    <t>Í</t>
  </si>
  <si>
    <t>I</t>
  </si>
  <si>
    <t>Ç</t>
  </si>
  <si>
    <t>L</t>
  </si>
  <si>
    <t>Ã</t>
  </si>
  <si>
    <t>­</t>
  </si>
  <si>
    <t>Pol</t>
  </si>
  <si>
    <t>M</t>
  </si>
  <si>
    <t>mca</t>
  </si>
  <si>
    <t>kPa</t>
  </si>
  <si>
    <r>
      <rPr>
        <b/>
        <sz val="9"/>
        <rFont val="Arial Narrow"/>
        <family val="2"/>
      </rPr>
      <t>OBS:</t>
    </r>
    <r>
      <rPr>
        <sz val="9"/>
        <rFont val="Arial Narrow"/>
        <family val="2"/>
      </rPr>
      <t xml:space="preserve"> O presente documento é obtido no site </t>
    </r>
    <r>
      <rPr>
        <i/>
        <sz val="9"/>
        <rFont val="Arial Narrow"/>
        <family val="2"/>
      </rPr>
      <t xml:space="preserve">www.cbmpa.gov.pa.br </t>
    </r>
    <r>
      <rPr>
        <sz val="9"/>
        <rFont val="Arial Narrow"/>
        <family val="2"/>
      </rPr>
      <t xml:space="preserve">no link </t>
    </r>
    <r>
      <rPr>
        <i/>
        <sz val="9"/>
        <rFont val="Arial Narrow"/>
        <family val="2"/>
      </rPr>
      <t>Serviços Técnicos</t>
    </r>
    <r>
      <rPr>
        <sz val="9"/>
        <rFont val="Arial Narrow"/>
        <family val="2"/>
      </rPr>
      <t xml:space="preserve"> e deverá ser preenchido completamente e entregue                                                                                                             </t>
    </r>
  </si>
  <si>
    <t xml:space="preserve"> 02 (duas) vias devidamente assinadas.  </t>
  </si>
  <si>
    <t>______________________________________________________</t>
  </si>
  <si>
    <t>VERSÃO: V - 02</t>
  </si>
  <si>
    <t>Visto do Analista:</t>
  </si>
  <si>
    <t>Manômetro e Pressostato</t>
  </si>
  <si>
    <t>Outro RTI (L)</t>
  </si>
  <si>
    <t>RTotal (L)</t>
  </si>
  <si>
    <t>NBJ</t>
  </si>
  <si>
    <t>NBRJ</t>
  </si>
  <si>
    <t>Aço Galvanizado</t>
  </si>
  <si>
    <t>ANSI/AWS-A5.8 ou ANSI/B32</t>
  </si>
  <si>
    <t>SOLDA PARA TUBO DE AÇO CARBONO PRETO - REF. ANSI/AWS-A5,8 ou ANSI/B32, Bravingfiller Metal - Classification BC uT-3</t>
  </si>
  <si>
    <t>10897 /2007</t>
  </si>
  <si>
    <t>MOLHADO</t>
  </si>
  <si>
    <t>PADRÃO</t>
  </si>
  <si>
    <t>Tubo de aço carbono SCH 40</t>
  </si>
  <si>
    <t>1/2"</t>
  </si>
  <si>
    <t>BSP</t>
  </si>
  <si>
    <t>P máxima=</t>
  </si>
  <si>
    <t>Maio</t>
  </si>
  <si>
    <t>Encaminho anexo material (listado abaixo), APROVADO pelo Corpo de bombeiros do Pará,</t>
  </si>
  <si>
    <r>
      <t xml:space="preserve">conforme Protocolo </t>
    </r>
    <r>
      <rPr>
        <b/>
        <sz val="11"/>
        <rFont val="Arial"/>
        <family val="2"/>
      </rPr>
      <t>316/15 de 24/02/15</t>
    </r>
    <r>
      <rPr>
        <sz val="11"/>
        <rFont val="Arial"/>
        <family val="2"/>
      </rPr>
      <t>, os Projetos de Combate a Incêndio e Pânico do:</t>
    </r>
  </si>
  <si>
    <t>(-</t>
  </si>
  <si>
    <t>01</t>
  </si>
  <si>
    <t>ANDRÉSSIO PAULO SOUSA DA SILVA REBELO</t>
  </si>
  <si>
    <t>CREA: 10.938 D/PA</t>
  </si>
  <si>
    <t>Celular: (91) 9 8162-9903</t>
  </si>
  <si>
    <t>Recebido em ___/___/2015</t>
  </si>
  <si>
    <t>Schneider BC-92 S/T AV - 2 CV - 157mm</t>
  </si>
  <si>
    <t>Schneider BC-22 R 1 1/4 - 7,5 CV - 184mm</t>
  </si>
  <si>
    <t>cavita</t>
  </si>
  <si>
    <t>KSB, Modelo: 32-200.1 - 3500 RPM - 7,5CV</t>
  </si>
  <si>
    <t>Schneider,  Modelo: MBA-ZL - 2CV</t>
  </si>
  <si>
    <t>2.1 Norma Adotada:</t>
  </si>
  <si>
    <t>2.2 Tipo de sistema preventivo:</t>
  </si>
  <si>
    <t>Diâmetro (mm):</t>
  </si>
  <si>
    <t>Comprimento (m):</t>
  </si>
  <si>
    <t>Mangotinho</t>
  </si>
  <si>
    <t>2.3 Tipo de esguicho:</t>
  </si>
  <si>
    <t>Cônico</t>
  </si>
  <si>
    <t>2.4 Quantidade  de  hidrantes  existentes:</t>
  </si>
  <si>
    <t xml:space="preserve">2.5 Quantos hidrantes, os mais desfavoráveis hidraulicamente, foram considerados (uso simultâneo) no cálculo: </t>
  </si>
  <si>
    <t>3. RESERVA TÉCNICA DE INCÊNDIO (RTI)</t>
  </si>
  <si>
    <t>3.3 Material de fabricação do reservatório:</t>
  </si>
  <si>
    <t>3.2 Capacidade da RTI (L):</t>
  </si>
  <si>
    <t>3.4 Capacidade total do reservatório(L):</t>
  </si>
  <si>
    <t>4.1 Material de fabricação da tubulação de sucção:</t>
  </si>
  <si>
    <t>4.2 Diâmetro da Tubulação (polegada):</t>
  </si>
  <si>
    <t>4.6 Perda de carga unitária (m/m):</t>
  </si>
  <si>
    <t>4.3 Vazão utilizada no cálculo da perda de carga (L/min):</t>
  </si>
  <si>
    <t>4.7 Perda de carga total (mca):</t>
  </si>
  <si>
    <t>4.4 Compr.equival. a perdas de cargas localizadas (m):</t>
  </si>
  <si>
    <t>4.8 Altura de sucção (m):</t>
  </si>
  <si>
    <t>4.5 Comprimento real da tubulação (m):</t>
  </si>
  <si>
    <t xml:space="preserve">4.9 NPSH requerido (m): </t>
  </si>
  <si>
    <t>Tubo de Ferro Galvanizado</t>
  </si>
  <si>
    <t>5.1 Material de fabricação da tubulação de recalque:</t>
  </si>
  <si>
    <t>5.2. PRIMEIRA OPÇÃO DE CÁLCULO - Com vazão em dobro - 1º hidrante mais desfavorável hidraulicamente</t>
  </si>
  <si>
    <t>5.3. SEGUNDA OPÇÃO DE CÁLCULO - Por trechos - 1º e 2º hidrantes mais desfavoráveis hidraulicamente</t>
  </si>
  <si>
    <r>
      <t>Pressão Máxima sem vazão (</t>
    </r>
    <r>
      <rPr>
        <i/>
        <sz val="8"/>
        <rFont val="Arial"/>
        <family val="2"/>
      </rPr>
      <t>shut-off</t>
    </r>
    <r>
      <rPr>
        <sz val="8"/>
        <rFont val="Arial"/>
        <family val="2"/>
      </rPr>
      <t>):</t>
    </r>
  </si>
  <si>
    <t>Diâmetro do rotor (mm):</t>
  </si>
  <si>
    <t>Modelo:</t>
  </si>
  <si>
    <t>8.2 Dados comerciais:</t>
  </si>
  <si>
    <r>
      <rPr>
        <b/>
        <sz val="10"/>
        <rFont val="Arial"/>
        <family val="2"/>
      </rPr>
      <t>OBS:</t>
    </r>
    <r>
      <rPr>
        <sz val="10"/>
        <rFont val="Arial"/>
        <family val="2"/>
      </rPr>
      <t xml:space="preserve"> O presente documento é obtido no site </t>
    </r>
    <r>
      <rPr>
        <i/>
        <sz val="10"/>
        <rFont val="Arial"/>
        <family val="2"/>
      </rPr>
      <t xml:space="preserve">www.bombeiros.pa.gov.pa.br </t>
    </r>
    <r>
      <rPr>
        <sz val="10"/>
        <rFont val="Arial"/>
        <family val="2"/>
      </rPr>
      <t xml:space="preserve">no link </t>
    </r>
    <r>
      <rPr>
        <i/>
        <sz val="10"/>
        <rFont val="Arial"/>
        <family val="2"/>
      </rPr>
      <t>Serviços Técnicos</t>
    </r>
    <r>
      <rPr>
        <sz val="10"/>
        <rFont val="Arial"/>
        <family val="2"/>
      </rPr>
      <t xml:space="preserve"> e deverá ser preenchido completamente e entregue 02 (duas) vias devidamente assinadas. </t>
    </r>
  </si>
  <si>
    <t>H4</t>
  </si>
  <si>
    <t>Pag. 01/02</t>
  </si>
  <si>
    <r>
      <rPr>
        <b/>
        <sz val="6"/>
        <rFont val="Calibri"/>
        <family val="2"/>
      </rPr>
      <t>Proteger Engenharia – Qualidade em Projetos de Combate à Incêndio</t>
    </r>
    <r>
      <rPr>
        <sz val="10"/>
        <rFont val="Arial"/>
        <family val="2"/>
      </rPr>
      <t xml:space="preserve">
</t>
    </r>
    <r>
      <rPr>
        <b/>
        <sz val="6"/>
        <rFont val="Calibri"/>
        <family val="2"/>
      </rPr>
      <t>Rua dos Mundurucus, 4329 – Guamá – CEP: 66.073-005 – Belém – PA                                                                   Telefone: (91) 98816-1878, (91) 98847-9106, 
CNPJ: 07.286.475/0001-35, Inscrição Municipal: 16.454.443, CREA/PA: 6.711-EM
E-mail:  contato@proteger.eng.br</t>
    </r>
  </si>
  <si>
    <t>MODELO DE MEMORIAL DE HIDRANTE COM O TIPO DE MANGUEIRA</t>
  </si>
  <si>
    <t>MEMORIAL DE CÁLCULO                                  DIMENSIONAMENTO DO SISTEMA DE HIDRANTES</t>
  </si>
  <si>
    <t>(91)98847-9106</t>
  </si>
  <si>
    <t>1.3 Bairro:</t>
  </si>
  <si>
    <r>
      <t>1.6 Área total construída (m</t>
    </r>
    <r>
      <rPr>
        <vertAlign val="superscript"/>
        <sz val="9"/>
        <rFont val="Arial"/>
        <family val="2"/>
      </rPr>
      <t>2</t>
    </r>
    <r>
      <rPr>
        <sz val="9"/>
        <rFont val="Arial"/>
        <family val="2"/>
      </rPr>
      <t>):</t>
    </r>
  </si>
  <si>
    <t>1.7 Classificação  da  edificação quanto à sua ocupação (Decreto 357 ou NBR 13714):</t>
  </si>
  <si>
    <t xml:space="preserve">  NBR</t>
  </si>
  <si>
    <t xml:space="preserve">  IT 03</t>
  </si>
  <si>
    <t xml:space="preserve">Comprimento (m): </t>
  </si>
  <si>
    <t>CONF. NBR 12779</t>
  </si>
  <si>
    <t>FIBRA (COM PROTEÇÃO MECÂNICA)</t>
  </si>
  <si>
    <t>a.1) Localização:</t>
  </si>
  <si>
    <t>a.3) Localização:</t>
  </si>
  <si>
    <t>a.2) Localização:</t>
  </si>
  <si>
    <t>a.4) Localização::</t>
  </si>
  <si>
    <r>
      <rPr>
        <b/>
        <sz val="9"/>
        <rFont val="Arial"/>
        <family val="2"/>
      </rPr>
      <t>5.4</t>
    </r>
    <r>
      <rPr>
        <sz val="9"/>
        <rFont val="Arial"/>
        <family val="2"/>
      </rPr>
      <t xml:space="preserve"> Soma das perdas de carga do recalque dos hidrantes mais desfavoráveis hidraulicamente </t>
    </r>
    <r>
      <rPr>
        <sz val="9"/>
        <rFont val="Arial Narrow"/>
        <family val="2"/>
      </rPr>
      <t xml:space="preserve"> </t>
    </r>
    <r>
      <rPr>
        <sz val="9"/>
        <rFont val="Arial"/>
        <family val="2"/>
      </rPr>
      <t>(mca):</t>
    </r>
  </si>
  <si>
    <t xml:space="preserve">Hidrante nº:  </t>
  </si>
  <si>
    <t>7. POTÊNCIA DA BOMBA PRINCIPAL OU DE REFORÇO</t>
  </si>
  <si>
    <t>6. CÁLCULO DA POTÊNCIA DA BOMBA</t>
  </si>
  <si>
    <t>CAU-PA</t>
  </si>
  <si>
    <t>H-2</t>
  </si>
  <si>
    <t>KSB, MODELO MEGABLOC 32-200</t>
  </si>
  <si>
    <t>HIDROBLOC M A 202 M</t>
  </si>
  <si>
    <t>Casa de Bombas e Gerência</t>
  </si>
  <si>
    <t>Painel de comando das bombas (Casa de Bombas)</t>
  </si>
  <si>
    <t>Sinaleira e alarme intermitente (visual e sonoro)</t>
  </si>
  <si>
    <t>Gerência</t>
  </si>
  <si>
    <t>MEMORIAL DE CÁLCULO                    DIMENSIONAMENTO DO SISTEMA DE HIDRANTES</t>
  </si>
  <si>
    <t xml:space="preserve">  NBR </t>
  </si>
  <si>
    <r>
      <t xml:space="preserve">a) </t>
    </r>
    <r>
      <rPr>
        <b/>
        <sz val="10"/>
        <rFont val="Arial Narrow"/>
        <family val="2"/>
      </rPr>
      <t xml:space="preserve">Primeiro hidrante mais desfavorável hidraulicamente </t>
    </r>
  </si>
  <si>
    <r>
      <t xml:space="preserve">a) </t>
    </r>
    <r>
      <rPr>
        <b/>
        <sz val="10"/>
        <rFont val="Arial Narrow"/>
        <family val="2"/>
      </rPr>
      <t>Segundo hidrante mais desfavorável hidraulicamente</t>
    </r>
  </si>
  <si>
    <r>
      <t>a.1) Localização:</t>
    </r>
    <r>
      <rPr>
        <b/>
        <sz val="10"/>
        <rFont val="Arial Narrow"/>
        <family val="2"/>
      </rPr>
      <t xml:space="preserve"> </t>
    </r>
  </si>
  <si>
    <r>
      <t>b.1) Localização:</t>
    </r>
    <r>
      <rPr>
        <b/>
        <sz val="10"/>
        <rFont val="Arial Narrow"/>
        <family val="2"/>
      </rPr>
      <t xml:space="preserve"> </t>
    </r>
  </si>
  <si>
    <t>Trecho A - Hidrante nº:</t>
  </si>
  <si>
    <t>Trecho B - Hidrante nº:</t>
  </si>
  <si>
    <r>
      <t>5.1</t>
    </r>
    <r>
      <rPr>
        <sz val="9"/>
        <rFont val="Arial"/>
        <family val="2"/>
      </rPr>
      <t xml:space="preserve"> Soma das perdas de carga do recalque dos hidrantes mais  desfavoráveis  hidraulicamente </t>
    </r>
    <r>
      <rPr>
        <sz val="9"/>
        <rFont val="Arial Narrow"/>
        <family val="2"/>
      </rPr>
      <t xml:space="preserve"> </t>
    </r>
    <r>
      <rPr>
        <sz val="9"/>
        <rFont val="Arial"/>
        <family val="2"/>
      </rPr>
      <t>(mca):</t>
    </r>
  </si>
  <si>
    <t>PAGINA 02/02</t>
  </si>
  <si>
    <t>7. POTÊNCIA DA BOMBA PRINCIPAL</t>
  </si>
  <si>
    <r>
      <t xml:space="preserve">1.7 </t>
    </r>
    <r>
      <rPr>
        <sz val="9"/>
        <rFont val="Arial"/>
        <family val="2"/>
      </rPr>
      <t>Classificação  da  edificação  quanto  à  sua ocupação Decreto 2230:</t>
    </r>
  </si>
  <si>
    <t>Recalque (m/s)</t>
  </si>
  <si>
    <t>Sucção (m/s)</t>
  </si>
  <si>
    <t>Velocidade da àgua  na Tubulação</t>
  </si>
  <si>
    <t>Calculada</t>
  </si>
  <si>
    <r>
      <t>a) Localização:</t>
    </r>
    <r>
      <rPr>
        <b/>
        <sz val="9"/>
        <rFont val="Arial Narrow"/>
        <family val="2"/>
      </rPr>
      <t xml:space="preserve">  </t>
    </r>
  </si>
  <si>
    <t xml:space="preserve">Hidrante nº: </t>
  </si>
  <si>
    <t>Conf. IT 03 -  item 5.8.8</t>
  </si>
  <si>
    <t>Conf. IT 03 - item 5.8.9</t>
  </si>
  <si>
    <t xml:space="preserve">OBS: Para efeito de cálculo de Potência da bomba, deverá ser feito totalmente pela  IT 03 -  CBMPA </t>
  </si>
  <si>
    <t xml:space="preserve">6.0   -  CALCULO DA BOMBA DE INCÊNDIO PELA IT 03 -  PARTE II:             </t>
  </si>
  <si>
    <t xml:space="preserve">  IT 03 CBMPA</t>
  </si>
  <si>
    <t>Outro Tipo:</t>
  </si>
  <si>
    <t>Logo da 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</si>
</sst>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0" formatCode="_(* #,##0_);_(* \(#,##0\);_(* \-_);_(@_)"/>
    <numFmt numFmtId="171" formatCode="_(&quot;R$&quot;* #,##0_);_(&quot;R$&quot;* \(#,##0\);_(&quot;R$&quot;* \-_);_(@_)"/>
    <numFmt numFmtId="172" formatCode="_(* #,##0.00_);_(* \(#,##0.00\);_(* \-??_);_(@_)"/>
    <numFmt numFmtId="174" formatCode="00"/>
    <numFmt numFmtId="175" formatCode="0000"/>
    <numFmt numFmtId="176" formatCode="0.000000"/>
    <numFmt numFmtId="177" formatCode="0.00000"/>
    <numFmt numFmtId="178" formatCode="0.0000"/>
    <numFmt numFmtId="179" formatCode="_(* #,##0.0000_);_(* \(#,##0.0000\);_(* \-??_);_(@_)"/>
    <numFmt numFmtId="180" formatCode="_(* #,##0.00_);_(* \(#,##0.00\);_(* \-????_);_(@_)"/>
    <numFmt numFmtId="181" formatCode="_(* #,##0.0000_);_(* \(#,##0.0000\);_(* \-????_);_(@_)"/>
    <numFmt numFmtId="182" formatCode="_(* #,##0_);_(* \(#,##0\);_(* \-??_);_(@_)"/>
    <numFmt numFmtId="183" formatCode="_(* #,##0.0_);_(* \(#,##0.0\);_(* \-??_);_(@_)"/>
    <numFmt numFmtId="184" formatCode="&quot;R$ &quot;#,##0.00"/>
    <numFmt numFmtId="191" formatCode="&quot;R$&quot;\ #,##0.00"/>
    <numFmt numFmtId="192" formatCode="#,##0;[Red]#,##0"/>
    <numFmt numFmtId="193" formatCode="_(* #,##0_);_(* \(#,##0\);_(* &quot;-&quot;_);_(@_)"/>
    <numFmt numFmtId="194" formatCode="_(* #,##0.00_);_(* \(#,##0.00\);_(* &quot;-&quot;??_);_(@_)"/>
  </numFmts>
  <fonts count="75" x14ac:knownFonts="1">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Times New Roman"/>
      <family val="1"/>
    </font>
    <font>
      <sz val="11"/>
      <color indexed="62"/>
      <name val="Calibri"/>
      <family val="2"/>
    </font>
    <font>
      <sz val="11"/>
      <color indexed="10"/>
      <name val="Calibri"/>
      <family val="2"/>
    </font>
    <font>
      <sz val="11"/>
      <color indexed="19"/>
      <name val="Calibri"/>
      <family val="2"/>
    </font>
    <font>
      <b/>
      <sz val="11"/>
      <color indexed="63"/>
      <name val="Calibri"/>
      <family val="2"/>
    </font>
    <font>
      <sz val="10"/>
      <color indexed="8"/>
      <name val="Arial"/>
      <family val="2"/>
    </font>
    <font>
      <sz val="10"/>
      <color indexed="17"/>
      <name val="Arial"/>
      <family val="2"/>
    </font>
    <font>
      <sz val="10"/>
      <color indexed="10"/>
      <name val="Arial"/>
      <family val="2"/>
    </font>
    <font>
      <b/>
      <sz val="18"/>
      <color indexed="62"/>
      <name val="Cambria"/>
      <family val="2"/>
    </font>
    <font>
      <b/>
      <sz val="15"/>
      <color indexed="56"/>
      <name val="Calibri"/>
      <family val="2"/>
    </font>
    <font>
      <sz val="10"/>
      <name val="Arial"/>
      <family val="2"/>
      <charset val="1"/>
    </font>
    <font>
      <b/>
      <sz val="10"/>
      <name val="Arial"/>
      <family val="2"/>
    </font>
    <font>
      <b/>
      <sz val="9"/>
      <name val="Arial"/>
      <family val="2"/>
    </font>
    <font>
      <b/>
      <sz val="10"/>
      <color indexed="12"/>
      <name val="Arial"/>
      <family val="2"/>
    </font>
    <font>
      <sz val="10"/>
      <color indexed="30"/>
      <name val="Arial"/>
      <family val="2"/>
    </font>
    <font>
      <sz val="10"/>
      <name val="Arial Narrow"/>
      <family val="2"/>
    </font>
    <font>
      <b/>
      <sz val="10"/>
      <color indexed="9"/>
      <name val="Arial"/>
      <family val="2"/>
    </font>
    <font>
      <sz val="9"/>
      <name val="Arial"/>
      <family val="2"/>
    </font>
    <font>
      <vertAlign val="superscript"/>
      <sz val="9"/>
      <name val="Arial"/>
      <family val="2"/>
    </font>
    <font>
      <sz val="9"/>
      <name val="Arial Narrow"/>
      <family val="2"/>
    </font>
    <font>
      <sz val="8"/>
      <name val="Arial Narrow"/>
      <family val="2"/>
    </font>
    <font>
      <sz val="8"/>
      <name val="Arial"/>
      <family val="2"/>
    </font>
    <font>
      <b/>
      <u/>
      <sz val="9"/>
      <name val="Arial"/>
      <family val="2"/>
    </font>
    <font>
      <u/>
      <sz val="9"/>
      <name val="Arial"/>
      <family val="2"/>
    </font>
    <font>
      <u/>
      <sz val="10"/>
      <name val="Arial"/>
      <family val="2"/>
    </font>
    <font>
      <i/>
      <sz val="10"/>
      <name val="Arial"/>
      <family val="2"/>
    </font>
    <font>
      <sz val="10"/>
      <color indexed="12"/>
      <name val="Arial"/>
      <family val="2"/>
    </font>
    <font>
      <b/>
      <sz val="10"/>
      <color indexed="10"/>
      <name val="Arial"/>
      <family val="2"/>
    </font>
    <font>
      <sz val="11"/>
      <name val="Arial"/>
      <family val="2"/>
    </font>
    <font>
      <b/>
      <sz val="11"/>
      <name val="Arial"/>
      <family val="2"/>
    </font>
    <font>
      <b/>
      <sz val="8"/>
      <name val="Arial"/>
      <family val="2"/>
    </font>
    <font>
      <b/>
      <sz val="8"/>
      <color indexed="30"/>
      <name val="Arial"/>
      <family val="2"/>
    </font>
    <font>
      <sz val="8"/>
      <color indexed="30"/>
      <name val="Arial"/>
      <family val="2"/>
    </font>
    <font>
      <sz val="8"/>
      <color indexed="17"/>
      <name val="Arial"/>
      <family val="2"/>
    </font>
    <font>
      <sz val="8"/>
      <color indexed="8"/>
      <name val="Arial"/>
      <family val="2"/>
    </font>
    <font>
      <sz val="10"/>
      <name val="Arial"/>
      <family val="2"/>
    </font>
    <font>
      <b/>
      <sz val="12"/>
      <name val="Arial"/>
      <family val="2"/>
    </font>
    <font>
      <b/>
      <sz val="14"/>
      <color indexed="30"/>
      <name val="Arial"/>
      <family val="2"/>
    </font>
    <font>
      <b/>
      <sz val="14"/>
      <name val="Arial"/>
      <family val="2"/>
    </font>
    <font>
      <sz val="8"/>
      <name val="Calibri"/>
      <family val="2"/>
    </font>
    <font>
      <sz val="10"/>
      <name val="Times New Roman"/>
      <family val="1"/>
    </font>
    <font>
      <sz val="11"/>
      <name val="Calibri"/>
      <family val="2"/>
    </font>
    <font>
      <sz val="12"/>
      <name val="Calibri"/>
      <family val="2"/>
    </font>
    <font>
      <b/>
      <sz val="12"/>
      <name val="Calibri"/>
      <family val="2"/>
    </font>
    <font>
      <sz val="14"/>
      <name val="Arial"/>
      <family val="2"/>
    </font>
    <font>
      <b/>
      <sz val="9"/>
      <name val="Arial Narrow"/>
      <family val="2"/>
    </font>
    <font>
      <i/>
      <sz val="9"/>
      <name val="Arial Narrow"/>
      <family val="2"/>
    </font>
    <font>
      <sz val="8.5"/>
      <name val="Arial"/>
      <family val="2"/>
    </font>
    <font>
      <b/>
      <sz val="8.5"/>
      <name val="Arial"/>
      <family val="2"/>
    </font>
    <font>
      <i/>
      <sz val="8"/>
      <name val="Arial"/>
      <family val="2"/>
    </font>
    <font>
      <b/>
      <sz val="6"/>
      <name val="Calibri"/>
      <family val="2"/>
    </font>
    <font>
      <b/>
      <sz val="7"/>
      <name val="Arial"/>
      <family val="2"/>
    </font>
    <font>
      <b/>
      <sz val="10"/>
      <name val="Arial"/>
      <family val="2"/>
      <charset val="1"/>
    </font>
    <font>
      <b/>
      <sz val="10"/>
      <name val="Arial Narrow"/>
      <family val="2"/>
    </font>
    <font>
      <b/>
      <sz val="6"/>
      <name val="Arial"/>
      <family val="2"/>
    </font>
    <font>
      <sz val="10"/>
      <color theme="0"/>
      <name val="Arial"/>
      <family val="2"/>
    </font>
    <font>
      <sz val="8"/>
      <color theme="0"/>
      <name val="Arial Narrow"/>
      <family val="2"/>
    </font>
    <font>
      <sz val="11"/>
      <color theme="0"/>
      <name val="Calibri"/>
      <family val="2"/>
    </font>
    <font>
      <b/>
      <sz val="9"/>
      <color rgb="FFFF0000"/>
      <name val="Arial"/>
      <family val="2"/>
    </font>
    <font>
      <b/>
      <sz val="10"/>
      <color rgb="FFFF0000"/>
      <name val="Arial"/>
      <family val="2"/>
    </font>
    <font>
      <b/>
      <sz val="8.5"/>
      <color rgb="FFFF0000"/>
      <name val="Arial"/>
      <family val="2"/>
    </font>
    <font>
      <b/>
      <sz val="7"/>
      <color rgb="FFFF0000"/>
      <name val="Arial"/>
      <family val="2"/>
    </font>
    <font>
      <b/>
      <sz val="10"/>
      <color rgb="FFFF0000"/>
      <name val="Arial"/>
      <family val="2"/>
      <charset val="1"/>
    </font>
    <font>
      <b/>
      <sz val="10"/>
      <color theme="0"/>
      <name val="Arial"/>
      <family val="2"/>
    </font>
  </fonts>
  <fills count="31">
    <fill>
      <patternFill patternType="none"/>
    </fill>
    <fill>
      <patternFill patternType="gray125"/>
    </fill>
    <fill>
      <patternFill patternType="solid">
        <fgColor indexed="44"/>
        <bgColor indexed="31"/>
      </patternFill>
    </fill>
    <fill>
      <patternFill patternType="solid">
        <fgColor indexed="29"/>
        <bgColor indexed="45"/>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43"/>
        <bgColor indexed="26"/>
      </patternFill>
    </fill>
    <fill>
      <patternFill patternType="solid">
        <fgColor indexed="45"/>
        <bgColor indexed="29"/>
      </patternFill>
    </fill>
    <fill>
      <patternFill patternType="solid">
        <fgColor indexed="53"/>
        <bgColor indexed="52"/>
      </patternFill>
    </fill>
    <fill>
      <patternFill patternType="solid">
        <fgColor indexed="51"/>
        <bgColor indexed="13"/>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24"/>
      </patternFill>
    </fill>
    <fill>
      <patternFill patternType="solid">
        <fgColor indexed="9"/>
        <bgColor indexed="26"/>
      </patternFill>
    </fill>
    <fill>
      <patternFill patternType="solid">
        <fgColor indexed="55"/>
        <bgColor indexed="23"/>
      </patternFill>
    </fill>
    <fill>
      <patternFill patternType="solid">
        <fgColor indexed="8"/>
        <bgColor indexed="58"/>
      </patternFill>
    </fill>
    <fill>
      <patternFill patternType="solid">
        <fgColor indexed="19"/>
        <bgColor indexed="55"/>
      </patternFill>
    </fill>
    <fill>
      <patternFill patternType="solid">
        <fgColor indexed="42"/>
        <bgColor indexed="27"/>
      </patternFill>
    </fill>
    <fill>
      <patternFill patternType="solid">
        <fgColor indexed="13"/>
        <bgColor indexed="34"/>
      </patternFill>
    </fill>
    <fill>
      <patternFill patternType="solid">
        <fgColor indexed="22"/>
        <bgColor indexed="31"/>
      </patternFill>
    </fill>
    <fill>
      <patternFill patternType="solid">
        <fgColor indexed="22"/>
        <bgColor indexed="64"/>
      </patternFill>
    </fill>
    <fill>
      <patternFill patternType="solid">
        <fgColor theme="0" tint="-0.34998626667073579"/>
        <bgColor indexed="64"/>
      </patternFill>
    </fill>
    <fill>
      <patternFill patternType="solid">
        <fgColor rgb="FF92D050"/>
        <bgColor indexed="64"/>
      </patternFill>
    </fill>
    <fill>
      <patternFill patternType="solid">
        <fgColor rgb="FF92D050"/>
        <bgColor indexed="49"/>
      </patternFill>
    </fill>
    <fill>
      <patternFill patternType="solid">
        <fgColor rgb="FF00B050"/>
        <bgColor indexed="49"/>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s>
  <borders count="2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ck">
        <color indexed="8"/>
      </left>
      <right/>
      <top/>
      <bottom/>
      <diagonal/>
    </border>
    <border>
      <left/>
      <right style="thick">
        <color indexed="8"/>
      </right>
      <top/>
      <bottom/>
      <diagonal/>
    </border>
    <border>
      <left/>
      <right/>
      <top/>
      <bottom style="medium">
        <color indexed="8"/>
      </bottom>
      <diagonal/>
    </border>
    <border>
      <left/>
      <right style="thick">
        <color indexed="8"/>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style="thin">
        <color indexed="8"/>
      </right>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diagonal/>
    </border>
    <border>
      <left style="medium">
        <color indexed="8"/>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hair">
        <color indexed="8"/>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style="dashed">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8"/>
      </left>
      <right/>
      <top/>
      <bottom style="medium">
        <color indexed="8"/>
      </bottom>
      <diagonal/>
    </border>
    <border>
      <left/>
      <right style="thick">
        <color indexed="8"/>
      </right>
      <top style="medium">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8"/>
      </left>
      <right/>
      <top style="medium">
        <color indexed="8"/>
      </top>
      <bottom/>
      <diagonal/>
    </border>
    <border>
      <left style="thin">
        <color indexed="64"/>
      </left>
      <right/>
      <top/>
      <bottom/>
      <diagonal/>
    </border>
    <border>
      <left style="thin">
        <color indexed="8"/>
      </left>
      <right/>
      <top/>
      <bottom style="medium">
        <color indexed="8"/>
      </bottom>
      <diagonal/>
    </border>
    <border>
      <left style="thick">
        <color indexed="64"/>
      </left>
      <right/>
      <top/>
      <bottom/>
      <diagonal/>
    </border>
    <border>
      <left/>
      <right style="medium">
        <color indexed="64"/>
      </right>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8"/>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8"/>
      </bottom>
      <diagonal/>
    </border>
    <border>
      <left style="thick">
        <color indexed="8"/>
      </left>
      <right/>
      <top/>
      <bottom style="thick">
        <color indexed="8"/>
      </bottom>
      <diagonal/>
    </border>
    <border>
      <left/>
      <right style="medium">
        <color indexed="8"/>
      </right>
      <top/>
      <bottom style="thick">
        <color indexed="8"/>
      </bottom>
      <diagonal/>
    </border>
    <border>
      <left style="medium">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style="thick">
        <color indexed="8"/>
      </right>
      <top/>
      <bottom style="thin">
        <color indexed="8"/>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8"/>
      </left>
      <right style="medium">
        <color indexed="8"/>
      </right>
      <top style="medium">
        <color indexed="8"/>
      </top>
      <bottom style="thin">
        <color indexed="8"/>
      </bottom>
      <diagonal/>
    </border>
    <border>
      <left/>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right style="medium">
        <color indexed="64"/>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style="medium">
        <color indexed="8"/>
      </right>
      <top style="thin">
        <color indexed="8"/>
      </top>
      <bottom style="thin">
        <color indexed="8"/>
      </bottom>
      <diagonal/>
    </border>
    <border>
      <left/>
      <right style="medium">
        <color indexed="64"/>
      </right>
      <top style="thin">
        <color indexed="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top style="thin">
        <color indexed="8"/>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diagonal/>
    </border>
    <border>
      <left style="medium">
        <color indexed="64"/>
      </left>
      <right/>
      <top style="thin">
        <color indexed="64"/>
      </top>
      <bottom style="thin">
        <color indexed="64"/>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medium">
        <color indexed="64"/>
      </top>
      <bottom style="medium">
        <color indexed="8"/>
      </bottom>
      <diagonal/>
    </border>
    <border>
      <left style="thin">
        <color indexed="8"/>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8"/>
      </left>
      <right/>
      <top style="medium">
        <color indexed="8"/>
      </top>
      <bottom style="medium">
        <color indexed="8"/>
      </bottom>
      <diagonal/>
    </border>
    <border>
      <left/>
      <right style="thick">
        <color indexed="8"/>
      </right>
      <top style="medium">
        <color indexed="8"/>
      </top>
      <bottom style="medium">
        <color indexed="8"/>
      </bottom>
      <diagonal/>
    </border>
    <border>
      <left style="thick">
        <color indexed="8"/>
      </left>
      <right style="thick">
        <color indexed="8"/>
      </right>
      <top style="medium">
        <color indexed="8"/>
      </top>
      <bottom style="medium">
        <color indexed="8"/>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8"/>
      </left>
      <right style="thin">
        <color indexed="8"/>
      </right>
      <top style="medium">
        <color indexed="8"/>
      </top>
      <bottom/>
      <diagonal/>
    </border>
    <border>
      <left style="thin">
        <color indexed="8"/>
      </left>
      <right style="thick">
        <color indexed="8"/>
      </right>
      <top style="medium">
        <color indexed="8"/>
      </top>
      <bottom/>
      <diagonal/>
    </border>
    <border>
      <left style="thin">
        <color indexed="8"/>
      </left>
      <right style="thick">
        <color indexed="8"/>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style="thin">
        <color indexed="8"/>
      </right>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ck">
        <color indexed="8"/>
      </right>
      <top style="thin">
        <color indexed="8"/>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ck">
        <color indexed="8"/>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right style="thin">
        <color indexed="8"/>
      </right>
      <top style="medium">
        <color indexed="8"/>
      </top>
      <bottom/>
      <diagonal/>
    </border>
    <border>
      <left style="thick">
        <color indexed="64"/>
      </left>
      <right/>
      <top style="medium">
        <color indexed="8"/>
      </top>
      <bottom style="medium">
        <color indexed="64"/>
      </bottom>
      <diagonal/>
    </border>
    <border>
      <left/>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right style="thick">
        <color indexed="8"/>
      </right>
      <top style="medium">
        <color indexed="8"/>
      </top>
      <bottom style="medium">
        <color indexed="64"/>
      </bottom>
      <diagonal/>
    </border>
    <border>
      <left style="thick">
        <color indexed="64"/>
      </left>
      <right/>
      <top style="thin">
        <color indexed="8"/>
      </top>
      <bottom/>
      <diagonal/>
    </border>
    <border>
      <left/>
      <right/>
      <top style="thin">
        <color indexed="8"/>
      </top>
      <bottom style="thick">
        <color indexed="8"/>
      </bottom>
      <diagonal/>
    </border>
    <border>
      <left style="medium">
        <color indexed="8"/>
      </left>
      <right style="thin">
        <color indexed="8"/>
      </right>
      <top style="thick">
        <color indexed="8"/>
      </top>
      <bottom style="medium">
        <color indexed="64"/>
      </bottom>
      <diagonal/>
    </border>
    <border>
      <left style="thin">
        <color indexed="8"/>
      </left>
      <right style="thin">
        <color indexed="8"/>
      </right>
      <top style="thick">
        <color indexed="8"/>
      </top>
      <bottom style="medium">
        <color indexed="64"/>
      </bottom>
      <diagonal/>
    </border>
    <border>
      <left style="thin">
        <color indexed="8"/>
      </left>
      <right style="medium">
        <color indexed="8"/>
      </right>
      <top style="thick">
        <color indexed="8"/>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ck">
        <color indexed="8"/>
      </right>
      <top style="medium">
        <color indexed="8"/>
      </top>
      <bottom style="medium">
        <color indexed="8"/>
      </bottom>
      <diagonal/>
    </border>
    <border>
      <left style="thick">
        <color indexed="8"/>
      </left>
      <right style="medium">
        <color indexed="64"/>
      </right>
      <top style="medium">
        <color indexed="8"/>
      </top>
      <bottom style="medium">
        <color indexed="8"/>
      </bottom>
      <diagonal/>
    </border>
    <border>
      <left/>
      <right style="medium">
        <color indexed="64"/>
      </right>
      <top style="medium">
        <color indexed="8"/>
      </top>
      <bottom style="thin">
        <color indexed="64"/>
      </bottom>
      <diagonal/>
    </border>
    <border>
      <left/>
      <right style="medium">
        <color indexed="64"/>
      </right>
      <top style="thin">
        <color indexed="64"/>
      </top>
      <bottom/>
      <diagonal/>
    </border>
    <border>
      <left style="medium">
        <color indexed="64"/>
      </left>
      <right style="thin">
        <color indexed="8"/>
      </right>
      <top style="medium">
        <color indexed="8"/>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ck">
        <color indexed="8"/>
      </right>
      <top style="thin">
        <color indexed="8"/>
      </top>
      <bottom/>
      <diagonal/>
    </border>
    <border>
      <left style="thick">
        <color indexed="8"/>
      </left>
      <right style="medium">
        <color indexed="64"/>
      </right>
      <top style="thin">
        <color indexed="8"/>
      </top>
      <bottom/>
      <diagonal/>
    </border>
    <border>
      <left style="medium">
        <color indexed="64"/>
      </left>
      <right style="medium">
        <color indexed="8"/>
      </right>
      <top style="thin">
        <color indexed="8"/>
      </top>
      <bottom style="medium">
        <color indexed="64"/>
      </bottom>
      <diagonal/>
    </border>
    <border>
      <left style="thick">
        <color indexed="8"/>
      </left>
      <right style="medium">
        <color indexed="8"/>
      </right>
      <top style="thin">
        <color indexed="8"/>
      </top>
      <bottom style="medium">
        <color indexed="64"/>
      </bottom>
      <diagonal/>
    </border>
    <border>
      <left style="medium">
        <color indexed="8"/>
      </left>
      <right style="thick">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s>
  <cellStyleXfs count="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170" fontId="46" fillId="0" borderId="0" applyFill="0" applyBorder="0" applyAlignment="0" applyProtection="0"/>
    <xf numFmtId="171" fontId="46" fillId="0" borderId="0" applyFill="0" applyBorder="0" applyAlignment="0" applyProtection="0"/>
    <xf numFmtId="0" fontId="21" fillId="0" borderId="0"/>
    <xf numFmtId="0" fontId="6" fillId="0" borderId="0" applyNumberFormat="0" applyFill="0" applyBorder="0" applyAlignment="0" applyProtection="0"/>
    <xf numFmtId="0" fontId="7" fillId="6"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46" fillId="0" borderId="0"/>
    <xf numFmtId="0" fontId="46" fillId="0" borderId="0"/>
    <xf numFmtId="0" fontId="46" fillId="0" borderId="0"/>
    <xf numFmtId="0" fontId="46" fillId="0" borderId="0"/>
    <xf numFmtId="0" fontId="46" fillId="0" borderId="0"/>
    <xf numFmtId="0" fontId="39" fillId="0" borderId="0"/>
    <xf numFmtId="0" fontId="46" fillId="4" borderId="7" applyNumberFormat="0" applyAlignment="0" applyProtection="0"/>
    <xf numFmtId="0" fontId="15" fillId="16" borderId="8" applyNumberFormat="0" applyAlignment="0" applyProtection="0"/>
    <xf numFmtId="9" fontId="46" fillId="0" borderId="0" applyFill="0" applyBorder="0" applyAlignment="0" applyProtection="0"/>
    <xf numFmtId="9" fontId="46" fillId="0" borderId="0" applyFont="0" applyFill="0" applyBorder="0" applyAlignment="0" applyProtection="0"/>
    <xf numFmtId="0" fontId="16" fillId="0" borderId="0" applyNumberFormat="0" applyFill="0" applyBorder="0" applyAlignment="0" applyProtection="0"/>
    <xf numFmtId="0" fontId="46" fillId="18" borderId="0" applyNumberFormat="0" applyBorder="0" applyAlignment="0" applyProtection="0"/>
    <xf numFmtId="0" fontId="46" fillId="0" borderId="0" applyNumberFormat="0" applyBorder="0" applyAlignment="0" applyProtection="0"/>
    <xf numFmtId="0" fontId="46" fillId="18" borderId="0" applyNumberFormat="0" applyBorder="0" applyAlignment="0" applyProtection="0"/>
    <xf numFmtId="0" fontId="16" fillId="18"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46" fillId="0" borderId="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172" fontId="46" fillId="0" borderId="0" applyFill="0" applyBorder="0" applyAlignment="0" applyProtection="0"/>
    <xf numFmtId="172" fontId="46" fillId="0" borderId="0" applyFill="0" applyBorder="0" applyAlignment="0" applyProtection="0"/>
    <xf numFmtId="0" fontId="13" fillId="0" borderId="0" applyNumberFormat="0" applyFill="0" applyBorder="0" applyAlignment="0" applyProtection="0"/>
  </cellStyleXfs>
  <cellXfs count="1328">
    <xf numFmtId="0" fontId="0" fillId="0" borderId="0" xfId="0"/>
    <xf numFmtId="0" fontId="25" fillId="0" borderId="0" xfId="42" applyFont="1"/>
    <xf numFmtId="0" fontId="0" fillId="0" borderId="0" xfId="0" applyBorder="1"/>
    <xf numFmtId="0" fontId="0" fillId="0" borderId="10" xfId="0" applyFont="1" applyBorder="1" applyAlignment="1" applyProtection="1">
      <alignment horizontal="left"/>
    </xf>
    <xf numFmtId="0" fontId="22"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Font="1" applyBorder="1" applyAlignment="1" applyProtection="1">
      <alignment horizontal="left"/>
    </xf>
    <xf numFmtId="0" fontId="0" fillId="0" borderId="11" xfId="0" applyFont="1" applyBorder="1" applyAlignment="1" applyProtection="1">
      <alignment horizontal="left"/>
      <protection locked="0"/>
    </xf>
    <xf numFmtId="4" fontId="0" fillId="0" borderId="11" xfId="0" applyNumberForma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22" fillId="0" borderId="14" xfId="0" applyFont="1" applyBorder="1" applyAlignment="1" applyProtection="1">
      <alignment horizontal="center" vertical="center"/>
      <protection locked="0"/>
    </xf>
    <xf numFmtId="0" fontId="0" fillId="0" borderId="15" xfId="0" applyFont="1" applyBorder="1" applyAlignment="1" applyProtection="1">
      <alignment horizontal="left" vertical="center"/>
    </xf>
    <xf numFmtId="0" fontId="0" fillId="0" borderId="10" xfId="0" applyBorder="1" applyAlignment="1" applyProtection="1">
      <alignment horizontal="left" vertical="center"/>
    </xf>
    <xf numFmtId="0" fontId="28" fillId="0" borderId="0" xfId="0" applyFont="1" applyBorder="1" applyAlignment="1" applyProtection="1">
      <alignment horizontal="left" vertical="center"/>
    </xf>
    <xf numFmtId="0" fontId="28" fillId="0" borderId="16" xfId="0" applyFont="1" applyBorder="1" applyAlignment="1" applyProtection="1">
      <alignment horizontal="left" vertical="center"/>
    </xf>
    <xf numFmtId="0" fontId="0" fillId="0" borderId="0" xfId="0" applyBorder="1" applyAlignment="1">
      <alignment vertical="center"/>
    </xf>
    <xf numFmtId="0" fontId="0" fillId="0" borderId="11" xfId="0" applyBorder="1" applyAlignment="1">
      <alignment vertical="center"/>
    </xf>
    <xf numFmtId="0" fontId="28" fillId="0" borderId="10"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lignment horizontal="left" vertical="center"/>
    </xf>
    <xf numFmtId="0" fontId="31" fillId="0" borderId="11"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Protection="1"/>
    <xf numFmtId="0" fontId="0" fillId="0" borderId="15" xfId="0" applyFont="1" applyBorder="1" applyAlignment="1" applyProtection="1">
      <alignment horizontal="left" vertical="top"/>
    </xf>
    <xf numFmtId="0" fontId="22" fillId="0" borderId="15" xfId="0" applyFont="1" applyBorder="1" applyAlignment="1" applyProtection="1">
      <alignment horizontal="center" vertical="center"/>
    </xf>
    <xf numFmtId="0" fontId="0" fillId="0" borderId="15" xfId="0" applyFont="1" applyBorder="1" applyAlignment="1" applyProtection="1">
      <alignment horizontal="center" vertical="top"/>
    </xf>
    <xf numFmtId="0" fontId="0" fillId="0" borderId="14" xfId="0" applyFont="1" applyBorder="1"/>
    <xf numFmtId="0" fontId="22" fillId="0" borderId="14" xfId="0" applyFont="1" applyBorder="1" applyAlignment="1">
      <alignment horizontal="center"/>
    </xf>
    <xf numFmtId="0" fontId="22" fillId="0" borderId="17" xfId="0" applyFont="1" applyBorder="1"/>
    <xf numFmtId="0" fontId="0" fillId="0" borderId="15" xfId="0" applyBorder="1"/>
    <xf numFmtId="0" fontId="0" fillId="0" borderId="18" xfId="0" applyBorder="1"/>
    <xf numFmtId="0" fontId="22" fillId="0" borderId="0" xfId="0" applyFont="1" applyBorder="1" applyAlignment="1" applyProtection="1">
      <alignment horizontal="center" vertical="center"/>
    </xf>
    <xf numFmtId="0" fontId="32" fillId="0" borderId="19" xfId="0" applyFont="1" applyBorder="1"/>
    <xf numFmtId="0" fontId="0" fillId="0" borderId="20" xfId="0" applyBorder="1"/>
    <xf numFmtId="0" fontId="32" fillId="0" borderId="0" xfId="0" applyFont="1" applyBorder="1" applyAlignment="1" applyProtection="1">
      <alignment horizontal="left" vertical="center"/>
    </xf>
    <xf numFmtId="2" fontId="0" fillId="0" borderId="0" xfId="0" applyNumberFormat="1" applyFont="1" applyBorder="1" applyAlignment="1">
      <alignment horizontal="left" vertical="center"/>
    </xf>
    <xf numFmtId="0" fontId="22" fillId="0" borderId="19" xfId="0" applyFont="1" applyBorder="1"/>
    <xf numFmtId="2" fontId="0" fillId="0" borderId="0" xfId="0" applyNumberFormat="1" applyBorder="1" applyAlignment="1" applyProtection="1">
      <alignment horizontal="left" vertical="center"/>
      <protection locked="0"/>
    </xf>
    <xf numFmtId="2" fontId="22" fillId="0" borderId="14" xfId="0" applyNumberFormat="1" applyFont="1" applyBorder="1"/>
    <xf numFmtId="0" fontId="0" fillId="0" borderId="19" xfId="0" applyBorder="1"/>
    <xf numFmtId="0" fontId="32" fillId="0" borderId="0" xfId="0" applyFont="1" applyBorder="1"/>
    <xf numFmtId="0" fontId="0" fillId="0" borderId="0" xfId="0" applyFont="1" applyBorder="1" applyAlignment="1">
      <alignment horizontal="left" vertical="center"/>
    </xf>
    <xf numFmtId="2" fontId="0" fillId="0" borderId="0" xfId="0" applyNumberFormat="1" applyBorder="1" applyAlignment="1" applyProtection="1">
      <alignment horizontal="left" vertical="center"/>
    </xf>
    <xf numFmtId="0" fontId="32" fillId="0" borderId="19" xfId="0" applyFont="1" applyFill="1" applyBorder="1"/>
    <xf numFmtId="0" fontId="0" fillId="0" borderId="0" xfId="0" applyNumberFormat="1" applyBorder="1" applyAlignment="1" applyProtection="1">
      <alignment horizontal="left" vertical="center"/>
      <protection locked="0"/>
    </xf>
    <xf numFmtId="1" fontId="0" fillId="0" borderId="0" xfId="0" applyNumberFormat="1" applyFont="1" applyBorder="1" applyAlignment="1" applyProtection="1">
      <alignment horizontal="left" vertical="center"/>
      <protection locked="0"/>
    </xf>
    <xf numFmtId="1" fontId="0" fillId="0" borderId="0" xfId="0" applyNumberFormat="1" applyBorder="1" applyAlignment="1" applyProtection="1">
      <alignment horizontal="left" vertical="center"/>
      <protection locked="0"/>
    </xf>
    <xf numFmtId="0" fontId="0" fillId="0" borderId="15" xfId="0" applyBorder="1" applyAlignment="1">
      <alignment horizontal="center"/>
    </xf>
    <xf numFmtId="0" fontId="0" fillId="0" borderId="21" xfId="0" applyBorder="1"/>
    <xf numFmtId="0" fontId="32" fillId="0" borderId="0" xfId="0" applyFont="1"/>
    <xf numFmtId="0" fontId="0" fillId="0" borderId="0" xfId="0" applyBorder="1" applyAlignment="1">
      <alignment horizontal="center"/>
    </xf>
    <xf numFmtId="0" fontId="0" fillId="0" borderId="22" xfId="0" applyFont="1" applyBorder="1" applyAlignment="1" applyProtection="1">
      <alignment horizontal="left" vertical="top" wrapText="1"/>
      <protection locked="0"/>
    </xf>
    <xf numFmtId="178" fontId="0" fillId="0" borderId="0" xfId="0" applyNumberFormat="1"/>
    <xf numFmtId="0" fontId="0" fillId="0" borderId="19" xfId="0" applyBorder="1" applyProtection="1"/>
    <xf numFmtId="0" fontId="0" fillId="0" borderId="0" xfId="0" applyBorder="1" applyProtection="1"/>
    <xf numFmtId="0" fontId="0" fillId="0" borderId="23" xfId="0" applyFont="1" applyBorder="1" applyAlignment="1" applyProtection="1"/>
    <xf numFmtId="174" fontId="22" fillId="0" borderId="0" xfId="0" applyNumberFormat="1" applyFont="1" applyBorder="1" applyAlignment="1" applyProtection="1">
      <alignment horizontal="center"/>
      <protection locked="0"/>
    </xf>
    <xf numFmtId="0" fontId="0" fillId="0" borderId="0" xfId="0" applyFont="1" applyBorder="1" applyAlignment="1" applyProtection="1">
      <alignment horizontal="center"/>
    </xf>
    <xf numFmtId="0" fontId="0" fillId="0" borderId="24" xfId="0" applyBorder="1" applyAlignment="1" applyProtection="1">
      <alignment vertical="top"/>
    </xf>
    <xf numFmtId="0" fontId="0" fillId="0" borderId="25" xfId="0" applyBorder="1" applyAlignment="1" applyProtection="1">
      <alignment vertical="top"/>
    </xf>
    <xf numFmtId="0" fontId="0" fillId="0" borderId="26" xfId="0" applyBorder="1" applyAlignment="1" applyProtection="1">
      <alignment vertical="top"/>
    </xf>
    <xf numFmtId="0" fontId="0" fillId="0" borderId="19" xfId="0" applyBorder="1" applyAlignment="1" applyProtection="1">
      <alignment vertical="top"/>
    </xf>
    <xf numFmtId="0" fontId="0" fillId="0" borderId="0" xfId="0" applyBorder="1" applyAlignment="1" applyProtection="1">
      <alignment vertical="top"/>
    </xf>
    <xf numFmtId="0" fontId="0" fillId="0" borderId="16" xfId="0" applyBorder="1" applyAlignment="1" applyProtection="1">
      <alignment vertical="top"/>
    </xf>
    <xf numFmtId="0" fontId="0" fillId="0" borderId="27" xfId="0" applyBorder="1" applyAlignment="1" applyProtection="1">
      <alignment vertical="top"/>
    </xf>
    <xf numFmtId="0" fontId="0" fillId="0" borderId="20" xfId="0" applyBorder="1" applyAlignment="1" applyProtection="1">
      <alignment vertical="top"/>
    </xf>
    <xf numFmtId="0" fontId="0" fillId="0" borderId="16" xfId="0" applyBorder="1" applyProtection="1"/>
    <xf numFmtId="0" fontId="0" fillId="0" borderId="27" xfId="0" applyBorder="1" applyProtection="1"/>
    <xf numFmtId="0" fontId="0" fillId="0" borderId="20" xfId="0" applyBorder="1" applyProtection="1"/>
    <xf numFmtId="0" fontId="22" fillId="0" borderId="28"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31" xfId="0" applyFont="1" applyBorder="1" applyAlignment="1" applyProtection="1">
      <alignment horizontal="center" vertical="center"/>
    </xf>
    <xf numFmtId="0" fontId="0" fillId="0" borderId="23" xfId="0" applyBorder="1" applyProtection="1"/>
    <xf numFmtId="0" fontId="0" fillId="0" borderId="0" xfId="0" applyFont="1"/>
    <xf numFmtId="0" fontId="24" fillId="0" borderId="0" xfId="0" applyFont="1"/>
    <xf numFmtId="0" fontId="37" fillId="0" borderId="0" xfId="0" applyFont="1"/>
    <xf numFmtId="0" fontId="22" fillId="0" borderId="0" xfId="0" applyFont="1"/>
    <xf numFmtId="0" fontId="18" fillId="0" borderId="0" xfId="0" applyFont="1"/>
    <xf numFmtId="0" fontId="24" fillId="0" borderId="14" xfId="0" applyFont="1" applyBorder="1"/>
    <xf numFmtId="0" fontId="0" fillId="0" borderId="0" xfId="0" applyFont="1" applyAlignment="1">
      <alignment horizontal="center"/>
    </xf>
    <xf numFmtId="0" fontId="24" fillId="19" borderId="14" xfId="0" applyFont="1" applyFill="1" applyBorder="1"/>
    <xf numFmtId="0" fontId="24" fillId="0" borderId="14" xfId="0" applyFont="1" applyBorder="1" applyAlignment="1">
      <alignment horizontal="center"/>
    </xf>
    <xf numFmtId="12" fontId="24" fillId="0" borderId="14" xfId="0" applyNumberFormat="1" applyFont="1" applyBorder="1"/>
    <xf numFmtId="12" fontId="24" fillId="0" borderId="14" xfId="0" applyNumberFormat="1" applyFont="1" applyBorder="1" applyAlignment="1">
      <alignment horizontal="center"/>
    </xf>
    <xf numFmtId="0" fontId="0" fillId="0" borderId="0" xfId="0" applyFont="1" applyBorder="1"/>
    <xf numFmtId="0" fontId="0" fillId="0" borderId="0" xfId="0" applyFont="1" applyAlignment="1">
      <alignment horizontal="right"/>
    </xf>
    <xf numFmtId="0" fontId="24" fillId="0" borderId="12" xfId="0" applyFont="1" applyBorder="1"/>
    <xf numFmtId="0" fontId="22" fillId="0" borderId="14" xfId="0" applyFont="1" applyBorder="1"/>
    <xf numFmtId="0" fontId="0" fillId="0" borderId="15" xfId="0" applyFont="1" applyBorder="1"/>
    <xf numFmtId="0" fontId="0" fillId="0" borderId="32" xfId="0" applyFont="1" applyBorder="1" applyAlignment="1">
      <alignment horizontal="center"/>
    </xf>
    <xf numFmtId="0" fontId="0" fillId="0" borderId="32" xfId="0" applyFont="1" applyBorder="1"/>
    <xf numFmtId="2" fontId="0" fillId="0" borderId="32" xfId="0" applyNumberFormat="1" applyFont="1" applyBorder="1"/>
    <xf numFmtId="0" fontId="24" fillId="0" borderId="14" xfId="0" applyFont="1" applyFill="1" applyBorder="1" applyAlignment="1">
      <alignment horizontal="center"/>
    </xf>
    <xf numFmtId="12" fontId="22" fillId="0" borderId="32" xfId="0" applyNumberFormat="1" applyFont="1" applyBorder="1"/>
    <xf numFmtId="0" fontId="0" fillId="0" borderId="0" xfId="0" applyFont="1" applyBorder="1" applyAlignment="1">
      <alignment horizontal="center"/>
    </xf>
    <xf numFmtId="12" fontId="0" fillId="0" borderId="0" xfId="0" applyNumberFormat="1" applyFont="1" applyBorder="1"/>
    <xf numFmtId="2" fontId="0" fillId="0" borderId="0" xfId="0" applyNumberFormat="1" applyFont="1" applyBorder="1"/>
    <xf numFmtId="0" fontId="22" fillId="14" borderId="14" xfId="0" applyFont="1" applyFill="1" applyBorder="1" applyAlignment="1">
      <alignment horizontal="center"/>
    </xf>
    <xf numFmtId="0" fontId="0" fillId="0" borderId="14" xfId="0" applyFont="1" applyBorder="1" applyAlignment="1">
      <alignment horizontal="center"/>
    </xf>
    <xf numFmtId="0" fontId="0" fillId="0" borderId="0" xfId="0" applyFont="1" applyFill="1" applyBorder="1"/>
    <xf numFmtId="0" fontId="0" fillId="0" borderId="0" xfId="0" applyFont="1" applyAlignment="1">
      <alignment horizontal="left"/>
    </xf>
    <xf numFmtId="0" fontId="38" fillId="0" borderId="0" xfId="0" applyFont="1"/>
    <xf numFmtId="0" fontId="38" fillId="0" borderId="0" xfId="0" applyFont="1" applyAlignment="1">
      <alignment horizontal="center"/>
    </xf>
    <xf numFmtId="12" fontId="22" fillId="0" borderId="14" xfId="0" applyNumberFormat="1" applyFont="1" applyBorder="1"/>
    <xf numFmtId="0" fontId="0" fillId="0" borderId="33" xfId="0" applyFont="1" applyBorder="1"/>
    <xf numFmtId="0" fontId="0" fillId="0" borderId="33" xfId="0" applyFont="1" applyBorder="1" applyAlignment="1">
      <alignment horizontal="center"/>
    </xf>
    <xf numFmtId="0" fontId="0" fillId="0" borderId="34" xfId="0"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left"/>
    </xf>
    <xf numFmtId="0" fontId="0" fillId="0" borderId="32" xfId="0" applyFont="1" applyFill="1" applyBorder="1" applyAlignment="1">
      <alignment horizontal="center"/>
    </xf>
    <xf numFmtId="0" fontId="0" fillId="0" borderId="36" xfId="0" applyFont="1" applyBorder="1"/>
    <xf numFmtId="0" fontId="24" fillId="20" borderId="32" xfId="0" applyFont="1" applyFill="1" applyBorder="1" applyAlignment="1">
      <alignment horizontal="center"/>
    </xf>
    <xf numFmtId="0" fontId="0" fillId="20" borderId="32" xfId="0" applyFont="1" applyFill="1" applyBorder="1" applyAlignment="1">
      <alignment horizontal="center"/>
    </xf>
    <xf numFmtId="0" fontId="0" fillId="0" borderId="24" xfId="0" applyFont="1" applyBorder="1" applyAlignment="1"/>
    <xf numFmtId="0" fontId="22" fillId="0" borderId="0" xfId="0" applyFont="1" applyAlignment="1">
      <alignment horizontal="left" vertical="center"/>
    </xf>
    <xf numFmtId="0" fontId="0" fillId="0" borderId="0" xfId="0" applyFont="1" applyAlignment="1">
      <alignment horizontal="left" vertical="center"/>
    </xf>
    <xf numFmtId="0" fontId="22" fillId="0" borderId="14" xfId="0" applyNumberFormat="1" applyFont="1" applyBorder="1" applyAlignment="1">
      <alignment horizontal="center" vertical="center"/>
    </xf>
    <xf numFmtId="179" fontId="0" fillId="0" borderId="0" xfId="62" applyNumberFormat="1" applyFont="1" applyFill="1" applyBorder="1" applyAlignment="1" applyProtection="1">
      <alignment horizontal="center" vertical="center"/>
    </xf>
    <xf numFmtId="0" fontId="22" fillId="0" borderId="32" xfId="0" applyFont="1" applyBorder="1" applyAlignment="1">
      <alignment horizontal="center"/>
    </xf>
    <xf numFmtId="0" fontId="0" fillId="0" borderId="0" xfId="0" applyNumberFormat="1" applyFont="1" applyBorder="1" applyAlignment="1">
      <alignment horizontal="center" vertical="center"/>
    </xf>
    <xf numFmtId="0" fontId="0" fillId="0" borderId="24" xfId="0" applyFont="1" applyBorder="1" applyAlignment="1">
      <alignment horizontal="center"/>
    </xf>
    <xf numFmtId="12" fontId="0" fillId="20" borderId="32" xfId="0" applyNumberFormat="1" applyFont="1" applyFill="1" applyBorder="1" applyAlignment="1">
      <alignment horizontal="center"/>
    </xf>
    <xf numFmtId="0" fontId="38" fillId="21" borderId="0" xfId="0" applyFont="1" applyFill="1"/>
    <xf numFmtId="179" fontId="0" fillId="0" borderId="0" xfId="62" applyNumberFormat="1" applyFont="1" applyFill="1" applyBorder="1" applyAlignment="1" applyProtection="1"/>
    <xf numFmtId="180" fontId="22" fillId="0" borderId="14" xfId="0" applyNumberFormat="1" applyFont="1" applyBorder="1"/>
    <xf numFmtId="12" fontId="0" fillId="0" borderId="0" xfId="0" applyNumberFormat="1" applyFont="1"/>
    <xf numFmtId="179" fontId="0" fillId="0" borderId="32" xfId="62" applyNumberFormat="1" applyFont="1" applyFill="1" applyBorder="1" applyAlignment="1" applyProtection="1"/>
    <xf numFmtId="181" fontId="0" fillId="0" borderId="0" xfId="0" applyNumberFormat="1" applyFont="1"/>
    <xf numFmtId="0" fontId="0" fillId="0" borderId="0" xfId="0" applyFont="1" applyBorder="1" applyAlignment="1">
      <alignment horizontal="center" vertical="center"/>
    </xf>
    <xf numFmtId="182" fontId="24" fillId="0" borderId="14" xfId="62" applyNumberFormat="1" applyFont="1" applyFill="1" applyBorder="1" applyAlignment="1" applyProtection="1"/>
    <xf numFmtId="183" fontId="24" fillId="21" borderId="14" xfId="62" applyNumberFormat="1" applyFont="1" applyFill="1" applyBorder="1" applyAlignment="1" applyProtection="1"/>
    <xf numFmtId="172" fontId="22" fillId="0" borderId="14" xfId="0" applyNumberFormat="1" applyFont="1" applyBorder="1"/>
    <xf numFmtId="172" fontId="22" fillId="0" borderId="14" xfId="62" applyNumberFormat="1" applyFont="1" applyFill="1" applyBorder="1" applyAlignment="1" applyProtection="1"/>
    <xf numFmtId="172" fontId="24" fillId="0" borderId="14" xfId="62" applyFont="1" applyFill="1" applyBorder="1" applyAlignment="1" applyProtection="1"/>
    <xf numFmtId="172" fontId="0" fillId="0" borderId="32" xfId="62" applyFont="1" applyFill="1" applyBorder="1" applyAlignment="1" applyProtection="1"/>
    <xf numFmtId="0" fontId="11" fillId="0" borderId="0" xfId="37" applyNumberFormat="1" applyFill="1" applyBorder="1" applyAlignment="1" applyProtection="1"/>
    <xf numFmtId="0" fontId="24" fillId="21" borderId="14" xfId="0" applyFont="1" applyFill="1" applyBorder="1" applyAlignment="1">
      <alignment horizontal="center"/>
    </xf>
    <xf numFmtId="0" fontId="0" fillId="0" borderId="0" xfId="0" applyAlignment="1">
      <alignment horizontal="center" vertical="center"/>
    </xf>
    <xf numFmtId="0" fontId="0" fillId="0" borderId="3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0" fillId="0" borderId="42" xfId="0" applyBorder="1" applyAlignment="1">
      <alignment horizontal="center"/>
    </xf>
    <xf numFmtId="0" fontId="0" fillId="0" borderId="0" xfId="0" applyFill="1" applyBorder="1" applyAlignment="1">
      <alignment horizontal="center"/>
    </xf>
    <xf numFmtId="0" fontId="0" fillId="0" borderId="0" xfId="0" applyNumberFormat="1"/>
    <xf numFmtId="0" fontId="35" fillId="0" borderId="0" xfId="0" applyFont="1"/>
    <xf numFmtId="0" fontId="0" fillId="0" borderId="43" xfId="0" applyBorder="1" applyAlignment="1">
      <alignment horizontal="center"/>
    </xf>
    <xf numFmtId="0" fontId="0" fillId="0" borderId="44" xfId="0" applyBorder="1" applyAlignment="1">
      <alignment horizontal="center"/>
    </xf>
    <xf numFmtId="0" fontId="0" fillId="0" borderId="45" xfId="0" applyFont="1" applyBorder="1" applyAlignment="1">
      <alignment horizontal="center"/>
    </xf>
    <xf numFmtId="172" fontId="0" fillId="21" borderId="14" xfId="62" applyFont="1" applyFill="1" applyBorder="1" applyAlignment="1" applyProtection="1"/>
    <xf numFmtId="4" fontId="0" fillId="0" borderId="0" xfId="62" applyNumberFormat="1" applyFont="1" applyFill="1" applyBorder="1" applyAlignment="1" applyProtection="1"/>
    <xf numFmtId="172" fontId="0" fillId="0" borderId="0" xfId="0" applyNumberFormat="1"/>
    <xf numFmtId="0" fontId="39" fillId="0" borderId="0" xfId="0" applyFont="1"/>
    <xf numFmtId="0" fontId="40" fillId="0" borderId="0" xfId="0" applyFont="1" applyAlignment="1"/>
    <xf numFmtId="0" fontId="40" fillId="0" borderId="0" xfId="42" applyFont="1" applyBorder="1" applyAlignment="1" applyProtection="1">
      <alignment horizontal="center" vertical="center"/>
    </xf>
    <xf numFmtId="0" fontId="40" fillId="0" borderId="0" xfId="0" applyFont="1" applyBorder="1" applyAlignment="1">
      <alignment horizontal="center" vertical="center"/>
    </xf>
    <xf numFmtId="0" fontId="40" fillId="0" borderId="0" xfId="42" applyFont="1" applyBorder="1" applyAlignment="1" applyProtection="1">
      <alignment horizontal="center" vertical="center"/>
      <protection locked="0"/>
    </xf>
    <xf numFmtId="175" fontId="40" fillId="0" borderId="0" xfId="42" applyNumberFormat="1" applyFont="1" applyBorder="1" applyAlignment="1" applyProtection="1">
      <alignment horizontal="center" vertical="center"/>
      <protection locked="0"/>
    </xf>
    <xf numFmtId="0" fontId="39" fillId="0" borderId="0" xfId="0" applyFont="1" applyAlignment="1">
      <alignment vertical="center"/>
    </xf>
    <xf numFmtId="0" fontId="40" fillId="0" borderId="0" xfId="0" applyNumberFormat="1" applyFont="1" applyAlignment="1"/>
    <xf numFmtId="0" fontId="39" fillId="0" borderId="0" xfId="0" applyFont="1" applyAlignment="1"/>
    <xf numFmtId="4" fontId="40" fillId="0" borderId="0" xfId="0" applyNumberFormat="1" applyFont="1" applyAlignment="1" applyProtection="1">
      <alignment horizontal="left"/>
      <protection locked="0"/>
    </xf>
    <xf numFmtId="49" fontId="39" fillId="0" borderId="0" xfId="0" applyNumberFormat="1" applyFont="1" applyAlignment="1">
      <alignment vertical="center"/>
    </xf>
    <xf numFmtId="0" fontId="39" fillId="0" borderId="0" xfId="0" applyFont="1" applyAlignment="1">
      <alignment horizontal="left" vertical="center"/>
    </xf>
    <xf numFmtId="0" fontId="39" fillId="0" borderId="0" xfId="0" applyFont="1" applyAlignment="1">
      <alignment horizontal="left"/>
    </xf>
    <xf numFmtId="0" fontId="40" fillId="0" borderId="0" xfId="0" applyFont="1" applyAlignment="1">
      <alignment vertical="center"/>
    </xf>
    <xf numFmtId="4" fontId="40" fillId="0" borderId="0" xfId="0" applyNumberFormat="1" applyFont="1" applyAlignment="1" applyProtection="1">
      <protection locked="0"/>
    </xf>
    <xf numFmtId="0" fontId="32" fillId="0" borderId="0" xfId="42" applyFont="1" applyFill="1" applyBorder="1" applyAlignment="1">
      <alignment horizontal="center"/>
    </xf>
    <xf numFmtId="0" fontId="0" fillId="0" borderId="0" xfId="42" applyFont="1" applyFill="1"/>
    <xf numFmtId="0" fontId="32" fillId="0" borderId="0" xfId="42" applyFont="1" applyFill="1" applyBorder="1" applyAlignment="1">
      <alignment horizontal="justify" vertical="center"/>
    </xf>
    <xf numFmtId="0" fontId="32" fillId="0" borderId="0" xfId="42" applyFont="1" applyFill="1" applyBorder="1"/>
    <xf numFmtId="4" fontId="32" fillId="0" borderId="0" xfId="42" applyNumberFormat="1" applyFont="1" applyFill="1" applyBorder="1"/>
    <xf numFmtId="4" fontId="41" fillId="0" borderId="0" xfId="42" applyNumberFormat="1" applyFont="1" applyFill="1" applyBorder="1"/>
    <xf numFmtId="0" fontId="41" fillId="0" borderId="32" xfId="42" applyFont="1" applyFill="1" applyBorder="1" applyAlignment="1">
      <alignment horizontal="center"/>
    </xf>
    <xf numFmtId="0" fontId="41" fillId="0" borderId="32" xfId="42" applyFont="1" applyFill="1" applyBorder="1"/>
    <xf numFmtId="0" fontId="41" fillId="0" borderId="32" xfId="42" applyFont="1" applyFill="1" applyBorder="1" applyAlignment="1">
      <alignment horizontal="justify" vertical="center"/>
    </xf>
    <xf numFmtId="4" fontId="41" fillId="0" borderId="32" xfId="42" applyNumberFormat="1" applyFont="1" applyFill="1" applyBorder="1" applyAlignment="1">
      <alignment vertical="center"/>
    </xf>
    <xf numFmtId="4" fontId="41" fillId="0" borderId="32" xfId="42" applyNumberFormat="1" applyFont="1" applyFill="1" applyBorder="1" applyAlignment="1">
      <alignment horizontal="center"/>
    </xf>
    <xf numFmtId="4" fontId="32" fillId="0" borderId="0" xfId="42" applyNumberFormat="1" applyFont="1" applyBorder="1"/>
    <xf numFmtId="4" fontId="32" fillId="0" borderId="16" xfId="42" applyNumberFormat="1" applyFont="1" applyBorder="1"/>
    <xf numFmtId="10" fontId="41" fillId="0" borderId="33" xfId="50" applyNumberFormat="1" applyFont="1" applyFill="1" applyBorder="1" applyAlignment="1" applyProtection="1">
      <alignment horizontal="center"/>
    </xf>
    <xf numFmtId="0" fontId="32" fillId="0" borderId="0" xfId="42" applyFont="1" applyBorder="1"/>
    <xf numFmtId="0" fontId="41" fillId="0" borderId="0" xfId="42" applyFont="1" applyBorder="1"/>
    <xf numFmtId="1" fontId="41" fillId="0" borderId="46" xfId="45" applyNumberFormat="1" applyFont="1" applyFill="1" applyBorder="1" applyAlignment="1">
      <alignment horizontal="right" vertical="center"/>
    </xf>
    <xf numFmtId="0" fontId="32" fillId="0" borderId="47" xfId="45" applyFont="1" applyFill="1" applyBorder="1" applyAlignment="1">
      <alignment vertical="center" wrapText="1"/>
    </xf>
    <xf numFmtId="184" fontId="32" fillId="0" borderId="47" xfId="42" applyNumberFormat="1" applyFont="1" applyFill="1" applyBorder="1" applyAlignment="1">
      <alignment vertical="center"/>
    </xf>
    <xf numFmtId="184" fontId="41" fillId="0" borderId="47" xfId="42" applyNumberFormat="1" applyFont="1" applyFill="1" applyBorder="1" applyAlignment="1">
      <alignment vertical="center"/>
    </xf>
    <xf numFmtId="4" fontId="41" fillId="0" borderId="47" xfId="42" applyNumberFormat="1" applyFont="1" applyFill="1" applyBorder="1"/>
    <xf numFmtId="4" fontId="41" fillId="0" borderId="0" xfId="42" applyNumberFormat="1" applyFont="1" applyBorder="1"/>
    <xf numFmtId="4" fontId="32" fillId="0" borderId="47" xfId="42" applyNumberFormat="1" applyFont="1" applyFill="1" applyBorder="1" applyAlignment="1">
      <alignment vertical="center"/>
    </xf>
    <xf numFmtId="1" fontId="32" fillId="0" borderId="46" xfId="45" applyNumberFormat="1" applyFont="1" applyFill="1" applyBorder="1" applyAlignment="1">
      <alignment horizontal="right" vertical="center"/>
    </xf>
    <xf numFmtId="1" fontId="32" fillId="0" borderId="47" xfId="45" applyNumberFormat="1" applyFont="1" applyFill="1" applyBorder="1" applyAlignment="1">
      <alignment horizontal="center" vertical="center"/>
    </xf>
    <xf numFmtId="4" fontId="32" fillId="0" borderId="47" xfId="45" applyNumberFormat="1" applyFont="1" applyFill="1" applyBorder="1" applyAlignment="1">
      <alignment horizontal="justify" vertical="center" wrapText="1"/>
    </xf>
    <xf numFmtId="4" fontId="32" fillId="0" borderId="47" xfId="45" applyNumberFormat="1" applyFont="1" applyFill="1" applyBorder="1" applyAlignment="1">
      <alignment horizontal="center" vertical="center"/>
    </xf>
    <xf numFmtId="0" fontId="42" fillId="0" borderId="0" xfId="42" applyFont="1" applyBorder="1"/>
    <xf numFmtId="0" fontId="43" fillId="0" borderId="0" xfId="42" applyFont="1" applyBorder="1"/>
    <xf numFmtId="0" fontId="44" fillId="0" borderId="0" xfId="42" applyFont="1" applyBorder="1"/>
    <xf numFmtId="4" fontId="41" fillId="0" borderId="47" xfId="42" applyNumberFormat="1" applyFont="1" applyBorder="1"/>
    <xf numFmtId="174" fontId="41" fillId="22" borderId="34" xfId="45" applyNumberFormat="1" applyFont="1" applyFill="1" applyBorder="1" applyAlignment="1">
      <alignment horizontal="right" vertical="center"/>
    </xf>
    <xf numFmtId="0" fontId="32" fillId="22" borderId="48" xfId="45" applyFont="1" applyFill="1" applyBorder="1" applyAlignment="1">
      <alignment vertical="center" wrapText="1"/>
    </xf>
    <xf numFmtId="4" fontId="32" fillId="22" borderId="48" xfId="42" applyNumberFormat="1" applyFont="1" applyFill="1" applyBorder="1"/>
    <xf numFmtId="184" fontId="32" fillId="22" borderId="48" xfId="42" applyNumberFormat="1" applyFont="1" applyFill="1" applyBorder="1" applyAlignment="1">
      <alignment vertical="center"/>
    </xf>
    <xf numFmtId="4" fontId="41" fillId="22" borderId="32" xfId="42" applyNumberFormat="1" applyFont="1" applyFill="1" applyBorder="1"/>
    <xf numFmtId="0" fontId="11" fillId="0" borderId="0" xfId="38" applyNumberFormat="1" applyFont="1" applyFill="1" applyBorder="1" applyAlignment="1" applyProtection="1"/>
    <xf numFmtId="0" fontId="45" fillId="0" borderId="0" xfId="0" applyFont="1"/>
    <xf numFmtId="0" fontId="39" fillId="0" borderId="0" xfId="0" applyFont="1" applyBorder="1" applyAlignment="1"/>
    <xf numFmtId="0" fontId="26" fillId="0" borderId="0" xfId="42" applyFont="1" applyFill="1" applyBorder="1" applyAlignment="1"/>
    <xf numFmtId="0" fontId="26" fillId="0" borderId="0" xfId="42" applyFont="1" applyFill="1" applyAlignment="1"/>
    <xf numFmtId="0" fontId="26" fillId="0" borderId="0" xfId="42" applyFont="1" applyFill="1" applyAlignment="1">
      <alignment horizontal="justify"/>
    </xf>
    <xf numFmtId="4" fontId="26" fillId="0" borderId="0" xfId="42" applyNumberFormat="1" applyFont="1" applyFill="1" applyAlignment="1"/>
    <xf numFmtId="4" fontId="32" fillId="0" borderId="0" xfId="42" applyNumberFormat="1" applyFont="1" applyFill="1"/>
    <xf numFmtId="4" fontId="41" fillId="0" borderId="0" xfId="42" applyNumberFormat="1" applyFont="1" applyFill="1"/>
    <xf numFmtId="4" fontId="32" fillId="0" borderId="0" xfId="42" applyNumberFormat="1" applyFont="1"/>
    <xf numFmtId="0" fontId="46" fillId="0" borderId="0" xfId="42" applyFont="1" applyFill="1"/>
    <xf numFmtId="0" fontId="46" fillId="0" borderId="0" xfId="42" applyFont="1"/>
    <xf numFmtId="4" fontId="47" fillId="0" borderId="0" xfId="42" applyNumberFormat="1" applyFont="1" applyAlignment="1"/>
    <xf numFmtId="4" fontId="47" fillId="0" borderId="0" xfId="42" applyNumberFormat="1" applyFont="1" applyFill="1" applyAlignment="1"/>
    <xf numFmtId="0" fontId="48" fillId="0" borderId="0" xfId="42" applyFont="1" applyAlignment="1"/>
    <xf numFmtId="0" fontId="49" fillId="0" borderId="0" xfId="42" applyFont="1" applyAlignment="1"/>
    <xf numFmtId="0" fontId="22" fillId="0" borderId="0" xfId="42" applyFont="1" applyFill="1" applyAlignment="1">
      <alignment vertical="center"/>
    </xf>
    <xf numFmtId="0" fontId="22" fillId="0" borderId="0" xfId="42" applyFont="1" applyAlignment="1">
      <alignment vertical="center"/>
    </xf>
    <xf numFmtId="0" fontId="25" fillId="0" borderId="0" xfId="42" applyFont="1" applyAlignment="1">
      <alignment horizontal="left"/>
    </xf>
    <xf numFmtId="0" fontId="46" fillId="0" borderId="0" xfId="42" applyFont="1" applyAlignment="1">
      <alignment horizontal="left"/>
    </xf>
    <xf numFmtId="0" fontId="22" fillId="0" borderId="0" xfId="42" applyFont="1" applyAlignment="1"/>
    <xf numFmtId="0" fontId="41" fillId="0" borderId="0" xfId="42" applyFont="1" applyFill="1" applyBorder="1" applyAlignment="1"/>
    <xf numFmtId="0" fontId="32" fillId="0" borderId="0" xfId="42" applyFont="1" applyFill="1"/>
    <xf numFmtId="0" fontId="32" fillId="0" borderId="0" xfId="42" applyFont="1" applyFill="1" applyAlignment="1">
      <alignment horizontal="justify"/>
    </xf>
    <xf numFmtId="4" fontId="32" fillId="0" borderId="0" xfId="42" applyNumberFormat="1" applyFont="1" applyFill="1" applyBorder="1" applyAlignment="1">
      <alignment horizontal="right"/>
    </xf>
    <xf numFmtId="191" fontId="32" fillId="0" borderId="0" xfId="42" applyNumberFormat="1" applyFont="1" applyFill="1" applyBorder="1"/>
    <xf numFmtId="0" fontId="43" fillId="0" borderId="0" xfId="42" applyFont="1"/>
    <xf numFmtId="0" fontId="32" fillId="0" borderId="0" xfId="42" applyFont="1"/>
    <xf numFmtId="0" fontId="41" fillId="0" borderId="0" xfId="42" applyFont="1" applyBorder="1" applyAlignment="1">
      <alignment vertical="center"/>
    </xf>
    <xf numFmtId="0" fontId="41" fillId="0" borderId="0" xfId="42" applyFont="1" applyFill="1" applyBorder="1" applyAlignment="1">
      <alignment vertical="center"/>
    </xf>
    <xf numFmtId="4" fontId="41" fillId="0" borderId="0" xfId="42" applyNumberFormat="1" applyFont="1" applyFill="1" applyBorder="1" applyAlignment="1">
      <alignment horizontal="center" vertical="center"/>
    </xf>
    <xf numFmtId="0" fontId="41" fillId="0" borderId="49" xfId="42" applyFont="1" applyBorder="1" applyAlignment="1">
      <alignment horizontal="center"/>
    </xf>
    <xf numFmtId="0" fontId="41" fillId="0" borderId="49" xfId="42" applyFont="1" applyBorder="1"/>
    <xf numFmtId="0" fontId="41" fillId="0" borderId="49" xfId="42" applyFont="1" applyBorder="1" applyAlignment="1">
      <alignment horizontal="justify" vertical="center"/>
    </xf>
    <xf numFmtId="0" fontId="41" fillId="0" borderId="49" xfId="42" applyFont="1" applyFill="1" applyBorder="1" applyAlignment="1">
      <alignment horizontal="center"/>
    </xf>
    <xf numFmtId="4" fontId="41" fillId="0" borderId="49" xfId="42" applyNumberFormat="1" applyFont="1" applyFill="1" applyBorder="1" applyAlignment="1">
      <alignment vertical="center"/>
    </xf>
    <xf numFmtId="4" fontId="41" fillId="0" borderId="49" xfId="42" applyNumberFormat="1" applyFont="1" applyBorder="1" applyAlignment="1">
      <alignment horizontal="center"/>
    </xf>
    <xf numFmtId="4" fontId="32" fillId="0" borderId="50" xfId="42" applyNumberFormat="1" applyFont="1" applyBorder="1"/>
    <xf numFmtId="10" fontId="41" fillId="0" borderId="51" xfId="51" applyNumberFormat="1" applyFont="1" applyFill="1" applyBorder="1" applyAlignment="1">
      <alignment horizontal="center"/>
    </xf>
    <xf numFmtId="1" fontId="41" fillId="23" borderId="52" xfId="45" applyNumberFormat="1" applyFont="1" applyFill="1" applyBorder="1" applyAlignment="1">
      <alignment horizontal="right" vertical="center"/>
    </xf>
    <xf numFmtId="0" fontId="32" fillId="23" borderId="53" xfId="45" applyFont="1" applyFill="1" applyBorder="1" applyAlignment="1">
      <alignment vertical="center" wrapText="1"/>
    </xf>
    <xf numFmtId="191" fontId="32" fillId="23" borderId="53" xfId="42" applyNumberFormat="1" applyFont="1" applyFill="1" applyBorder="1" applyAlignment="1">
      <alignment vertical="center"/>
    </xf>
    <xf numFmtId="4" fontId="41" fillId="23" borderId="53" xfId="42" applyNumberFormat="1" applyFont="1" applyFill="1" applyBorder="1"/>
    <xf numFmtId="4" fontId="32" fillId="0" borderId="54" xfId="42" applyNumberFormat="1" applyFont="1" applyFill="1" applyBorder="1" applyAlignment="1">
      <alignment vertical="center"/>
    </xf>
    <xf numFmtId="1" fontId="32" fillId="0" borderId="52" xfId="45" applyNumberFormat="1" applyFont="1" applyFill="1" applyBorder="1" applyAlignment="1">
      <alignment horizontal="right" vertical="center"/>
    </xf>
    <xf numFmtId="192" fontId="32" fillId="0" borderId="54" xfId="45" applyNumberFormat="1" applyFont="1" applyFill="1" applyBorder="1" applyAlignment="1">
      <alignment horizontal="center" vertical="center"/>
    </xf>
    <xf numFmtId="0" fontId="32" fillId="0" borderId="54" xfId="46" applyFont="1" applyBorder="1" applyAlignment="1" applyProtection="1">
      <alignment horizontal="justify" vertical="center"/>
    </xf>
    <xf numFmtId="0" fontId="32" fillId="0" borderId="54" xfId="46" applyFont="1" applyFill="1" applyBorder="1" applyAlignment="1" applyProtection="1">
      <alignment horizontal="center" vertical="center"/>
    </xf>
    <xf numFmtId="191" fontId="32" fillId="0" borderId="54" xfId="42" applyNumberFormat="1" applyFont="1" applyFill="1" applyBorder="1" applyAlignment="1">
      <alignment vertical="center"/>
    </xf>
    <xf numFmtId="191" fontId="41" fillId="0" borderId="54" xfId="42" applyNumberFormat="1" applyFont="1" applyFill="1" applyBorder="1" applyAlignment="1">
      <alignment vertical="center"/>
    </xf>
    <xf numFmtId="4" fontId="32" fillId="0" borderId="54" xfId="45" applyNumberFormat="1" applyFont="1" applyFill="1" applyBorder="1" applyAlignment="1">
      <alignment horizontal="center" vertical="center"/>
    </xf>
    <xf numFmtId="0" fontId="50" fillId="0" borderId="54" xfId="44" applyFont="1" applyFill="1" applyBorder="1" applyAlignment="1">
      <alignment horizontal="center" vertical="center"/>
    </xf>
    <xf numFmtId="0" fontId="32" fillId="0" borderId="54" xfId="46" applyFont="1" applyFill="1" applyBorder="1" applyAlignment="1" applyProtection="1">
      <alignment horizontal="justify" vertical="center"/>
    </xf>
    <xf numFmtId="0" fontId="32" fillId="0" borderId="54" xfId="46" applyFont="1" applyFill="1" applyBorder="1" applyAlignment="1">
      <alignment horizontal="center" vertical="center"/>
    </xf>
    <xf numFmtId="4" fontId="41" fillId="0" borderId="54" xfId="42" applyNumberFormat="1" applyFont="1" applyBorder="1"/>
    <xf numFmtId="0" fontId="32" fillId="0" borderId="54" xfId="45" applyFont="1" applyFill="1" applyBorder="1" applyAlignment="1">
      <alignment horizontal="justify" vertical="center" wrapText="1"/>
    </xf>
    <xf numFmtId="0" fontId="32" fillId="0" borderId="54" xfId="45" applyFont="1" applyFill="1" applyBorder="1" applyAlignment="1">
      <alignment horizontal="center" vertical="center"/>
    </xf>
    <xf numFmtId="0" fontId="32" fillId="23" borderId="54" xfId="45" applyFont="1" applyFill="1" applyBorder="1" applyAlignment="1">
      <alignment vertical="center" wrapText="1"/>
    </xf>
    <xf numFmtId="191" fontId="32" fillId="23" borderId="54" xfId="42" applyNumberFormat="1" applyFont="1" applyFill="1" applyBorder="1" applyAlignment="1">
      <alignment vertical="center"/>
    </xf>
    <xf numFmtId="4" fontId="41" fillId="23" borderId="54" xfId="42" applyNumberFormat="1" applyFont="1" applyFill="1" applyBorder="1"/>
    <xf numFmtId="191" fontId="41" fillId="23" borderId="54" xfId="42" applyNumberFormat="1" applyFont="1" applyFill="1" applyBorder="1" applyAlignment="1">
      <alignment vertical="center"/>
    </xf>
    <xf numFmtId="1" fontId="32" fillId="0" borderId="54" xfId="45" applyNumberFormat="1" applyFont="1" applyFill="1" applyBorder="1" applyAlignment="1">
      <alignment horizontal="center" vertical="center"/>
    </xf>
    <xf numFmtId="4" fontId="32" fillId="0" borderId="54" xfId="45" applyNumberFormat="1" applyFont="1" applyFill="1" applyBorder="1" applyAlignment="1">
      <alignment horizontal="justify" vertical="center" wrapText="1"/>
    </xf>
    <xf numFmtId="4" fontId="32" fillId="0" borderId="0" xfId="42" applyNumberFormat="1" applyFont="1" applyFill="1" applyBorder="1" applyAlignment="1">
      <alignment vertical="center"/>
    </xf>
    <xf numFmtId="174" fontId="41" fillId="0" borderId="52" xfId="45" applyNumberFormat="1" applyFont="1" applyFill="1" applyBorder="1" applyAlignment="1">
      <alignment horizontal="right" vertical="center"/>
    </xf>
    <xf numFmtId="0" fontId="32" fillId="0" borderId="54" xfId="45" applyFont="1" applyFill="1" applyBorder="1" applyAlignment="1">
      <alignment vertical="center" wrapText="1"/>
    </xf>
    <xf numFmtId="4" fontId="23" fillId="0" borderId="54" xfId="45" applyNumberFormat="1" applyFont="1" applyFill="1" applyBorder="1" applyAlignment="1">
      <alignment horizontal="left" vertical="center"/>
    </xf>
    <xf numFmtId="1" fontId="32" fillId="0" borderId="52" xfId="45" applyNumberFormat="1" applyFont="1" applyFill="1" applyBorder="1" applyAlignment="1">
      <alignment horizontal="right" vertical="center" wrapText="1"/>
    </xf>
    <xf numFmtId="0" fontId="32" fillId="0" borderId="55" xfId="45" applyFont="1" applyFill="1" applyBorder="1" applyAlignment="1">
      <alignment vertical="center" wrapText="1"/>
    </xf>
    <xf numFmtId="4" fontId="41" fillId="0" borderId="54" xfId="42" applyNumberFormat="1" applyFont="1" applyFill="1" applyBorder="1"/>
    <xf numFmtId="1" fontId="41" fillId="0" borderId="52" xfId="45" applyNumberFormat="1" applyFont="1" applyFill="1" applyBorder="1" applyAlignment="1">
      <alignment horizontal="right" vertical="center"/>
    </xf>
    <xf numFmtId="1" fontId="41" fillId="0" borderId="54" xfId="45" applyNumberFormat="1" applyFont="1" applyFill="1" applyBorder="1" applyAlignment="1">
      <alignment horizontal="right" vertical="center"/>
    </xf>
    <xf numFmtId="193" fontId="32" fillId="0" borderId="54" xfId="45" applyNumberFormat="1" applyFont="1" applyFill="1" applyBorder="1" applyAlignment="1">
      <alignment horizontal="center" vertical="center"/>
    </xf>
    <xf numFmtId="193" fontId="32" fillId="0" borderId="52" xfId="45" applyNumberFormat="1" applyFont="1" applyFill="1" applyBorder="1" applyAlignment="1">
      <alignment horizontal="right" vertical="center"/>
    </xf>
    <xf numFmtId="193" fontId="32" fillId="0" borderId="54" xfId="45" applyNumberFormat="1" applyFont="1" applyFill="1" applyBorder="1" applyAlignment="1">
      <alignment horizontal="justify" vertical="center" wrapText="1"/>
    </xf>
    <xf numFmtId="4" fontId="32" fillId="23" borderId="54" xfId="42" applyNumberFormat="1" applyFont="1" applyFill="1" applyBorder="1" applyAlignment="1">
      <alignment vertical="center"/>
    </xf>
    <xf numFmtId="194" fontId="51" fillId="0" borderId="56" xfId="47" applyNumberFormat="1" applyFont="1" applyFill="1" applyBorder="1" applyAlignment="1">
      <alignment horizontal="right"/>
    </xf>
    <xf numFmtId="0" fontId="41" fillId="0" borderId="0" xfId="42" applyFont="1" applyFill="1" applyBorder="1"/>
    <xf numFmtId="2" fontId="32" fillId="0" borderId="0" xfId="42" applyNumberFormat="1" applyFont="1" applyBorder="1" applyAlignment="1"/>
    <xf numFmtId="3" fontId="32" fillId="0" borderId="52" xfId="45" applyNumberFormat="1" applyFont="1" applyFill="1" applyBorder="1" applyAlignment="1">
      <alignment horizontal="right" vertical="center"/>
    </xf>
    <xf numFmtId="0" fontId="32" fillId="0" borderId="57" xfId="45" applyNumberFormat="1" applyFont="1" applyFill="1" applyBorder="1" applyAlignment="1">
      <alignment horizontal="justify" vertical="center" wrapText="1"/>
    </xf>
    <xf numFmtId="193" fontId="32" fillId="0" borderId="52" xfId="45" applyNumberFormat="1" applyFont="1" applyFill="1" applyBorder="1" applyAlignment="1">
      <alignment horizontal="center" vertical="center"/>
    </xf>
    <xf numFmtId="0" fontId="32" fillId="0" borderId="58" xfId="45" applyNumberFormat="1" applyFont="1" applyFill="1" applyBorder="1" applyAlignment="1" applyProtection="1">
      <alignment horizontal="justify" vertical="center" wrapText="1"/>
      <protection locked="0"/>
    </xf>
    <xf numFmtId="4" fontId="32" fillId="0" borderId="54" xfId="45" applyNumberFormat="1" applyFont="1" applyFill="1" applyBorder="1" applyAlignment="1">
      <alignment vertical="center"/>
    </xf>
    <xf numFmtId="1" fontId="32" fillId="0" borderId="59" xfId="45" applyNumberFormat="1" applyFont="1" applyFill="1" applyBorder="1" applyAlignment="1">
      <alignment horizontal="center" vertical="center"/>
    </xf>
    <xf numFmtId="193" fontId="32" fillId="0" borderId="55" xfId="45" applyNumberFormat="1" applyFont="1" applyFill="1" applyBorder="1" applyAlignment="1">
      <alignment horizontal="justify" vertical="center" wrapText="1"/>
    </xf>
    <xf numFmtId="1" fontId="32" fillId="0" borderId="60" xfId="45" applyNumberFormat="1" applyFont="1" applyFill="1" applyBorder="1" applyAlignment="1">
      <alignment horizontal="center" vertical="center"/>
    </xf>
    <xf numFmtId="193" fontId="32" fillId="0" borderId="60" xfId="45" applyNumberFormat="1" applyFont="1" applyFill="1" applyBorder="1" applyAlignment="1">
      <alignment horizontal="justify" vertical="center" wrapText="1"/>
    </xf>
    <xf numFmtId="193" fontId="32" fillId="0" borderId="60" xfId="45" applyNumberFormat="1" applyFont="1" applyFill="1" applyBorder="1" applyAlignment="1">
      <alignment horizontal="center" vertical="center"/>
    </xf>
    <xf numFmtId="4" fontId="32" fillId="0" borderId="60" xfId="42" applyNumberFormat="1" applyFont="1" applyFill="1" applyBorder="1" applyAlignment="1">
      <alignment vertical="center"/>
    </xf>
    <xf numFmtId="191" fontId="32" fillId="0" borderId="60" xfId="42" applyNumberFormat="1" applyFont="1" applyFill="1" applyBorder="1" applyAlignment="1">
      <alignment vertical="center"/>
    </xf>
    <xf numFmtId="4" fontId="41" fillId="0" borderId="60" xfId="42" applyNumberFormat="1" applyFont="1" applyBorder="1"/>
    <xf numFmtId="0" fontId="32" fillId="0" borderId="60" xfId="42" applyFont="1" applyBorder="1" applyAlignment="1">
      <alignment horizontal="center" vertical="center"/>
    </xf>
    <xf numFmtId="0" fontId="46" fillId="0" borderId="60" xfId="42" applyFont="1" applyBorder="1" applyAlignment="1">
      <alignment vertical="center"/>
    </xf>
    <xf numFmtId="0" fontId="32" fillId="0" borderId="60" xfId="42" applyFont="1" applyBorder="1" applyAlignment="1">
      <alignment horizontal="justify" vertical="center"/>
    </xf>
    <xf numFmtId="0" fontId="32" fillId="0" borderId="60" xfId="42" applyFont="1" applyFill="1" applyBorder="1" applyAlignment="1">
      <alignment vertical="center"/>
    </xf>
    <xf numFmtId="4" fontId="32" fillId="0" borderId="60" xfId="42" applyNumberFormat="1" applyFont="1" applyBorder="1" applyAlignment="1">
      <alignment vertical="center"/>
    </xf>
    <xf numFmtId="4" fontId="41" fillId="0" borderId="60" xfId="42" applyNumberFormat="1" applyFont="1" applyBorder="1" applyAlignment="1">
      <alignment vertical="center"/>
    </xf>
    <xf numFmtId="174" fontId="41" fillId="23" borderId="61" xfId="45" applyNumberFormat="1" applyFont="1" applyFill="1" applyBorder="1" applyAlignment="1">
      <alignment horizontal="right" vertical="center"/>
    </xf>
    <xf numFmtId="0" fontId="32" fillId="23" borderId="62" xfId="45" applyFont="1" applyFill="1" applyBorder="1" applyAlignment="1">
      <alignment vertical="center" wrapText="1"/>
    </xf>
    <xf numFmtId="4" fontId="32" fillId="23" borderId="62" xfId="42" applyNumberFormat="1" applyFont="1" applyFill="1" applyBorder="1"/>
    <xf numFmtId="191" fontId="32" fillId="23" borderId="62" xfId="42" applyNumberFormat="1" applyFont="1" applyFill="1" applyBorder="1" applyAlignment="1">
      <alignment vertical="center"/>
    </xf>
    <xf numFmtId="4" fontId="41" fillId="23" borderId="49" xfId="42" applyNumberFormat="1" applyFont="1" applyFill="1" applyBorder="1"/>
    <xf numFmtId="0" fontId="43" fillId="0" borderId="0" xfId="42" applyFont="1" applyFill="1" applyBorder="1"/>
    <xf numFmtId="0" fontId="0" fillId="0" borderId="27" xfId="0" applyFont="1" applyBorder="1" applyAlignment="1" applyProtection="1">
      <alignment horizontal="left" vertical="center"/>
    </xf>
    <xf numFmtId="174" fontId="0" fillId="0" borderId="0" xfId="0" applyNumberFormat="1" applyBorder="1" applyAlignment="1" applyProtection="1">
      <alignment horizontal="left" vertical="center"/>
      <protection locked="0"/>
    </xf>
    <xf numFmtId="1" fontId="0" fillId="0" borderId="11" xfId="0" applyNumberFormat="1" applyBorder="1" applyAlignment="1">
      <alignment horizontal="left" vertical="center"/>
    </xf>
    <xf numFmtId="0" fontId="0" fillId="0" borderId="0" xfId="0" applyBorder="1" applyAlignment="1" applyProtection="1">
      <alignment horizontal="center"/>
    </xf>
    <xf numFmtId="0" fontId="0" fillId="0" borderId="23" xfId="0" applyBorder="1" applyAlignment="1" applyProtection="1"/>
    <xf numFmtId="0" fontId="22" fillId="0" borderId="23" xfId="0" applyFont="1" applyBorder="1" applyAlignment="1" applyProtection="1">
      <alignment horizontal="center"/>
      <protection locked="0"/>
    </xf>
    <xf numFmtId="0" fontId="0" fillId="0" borderId="18" xfId="0" applyBorder="1" applyProtection="1"/>
    <xf numFmtId="0" fontId="0" fillId="0" borderId="63" xfId="0" applyBorder="1"/>
    <xf numFmtId="0" fontId="26" fillId="0" borderId="0" xfId="0" applyFont="1" applyBorder="1" applyAlignment="1" applyProtection="1">
      <alignment horizontal="left" vertical="center"/>
    </xf>
    <xf numFmtId="0" fontId="0" fillId="0" borderId="0" xfId="0" applyBorder="1" applyAlignment="1" applyProtection="1">
      <alignment horizontal="left"/>
    </xf>
    <xf numFmtId="0" fontId="0" fillId="0" borderId="15" xfId="0" applyFont="1" applyBorder="1" applyAlignment="1" applyProtection="1">
      <alignment horizontal="center"/>
    </xf>
    <xf numFmtId="0" fontId="0" fillId="0" borderId="0" xfId="0" applyFont="1" applyBorder="1" applyAlignment="1" applyProtection="1">
      <alignment horizontal="left"/>
      <protection locked="0"/>
    </xf>
    <xf numFmtId="4" fontId="0" fillId="0" borderId="0" xfId="0" applyNumberFormat="1" applyBorder="1" applyAlignment="1" applyProtection="1">
      <alignment horizontal="left"/>
      <protection locked="0"/>
    </xf>
    <xf numFmtId="0" fontId="0" fillId="0" borderId="10" xfId="0" applyBorder="1" applyAlignment="1" applyProtection="1">
      <alignment horizontal="left"/>
    </xf>
    <xf numFmtId="0" fontId="0" fillId="0" borderId="64" xfId="0" applyBorder="1" applyAlignment="1" applyProtection="1">
      <alignment horizontal="center"/>
    </xf>
    <xf numFmtId="0" fontId="0" fillId="0" borderId="65" xfId="0" applyBorder="1" applyAlignment="1" applyProtection="1">
      <alignment horizontal="left"/>
    </xf>
    <xf numFmtId="0" fontId="0" fillId="0" borderId="12" xfId="0" applyBorder="1" applyAlignment="1" applyProtection="1">
      <alignment horizontal="left"/>
    </xf>
    <xf numFmtId="0" fontId="0" fillId="0" borderId="12" xfId="0" applyBorder="1" applyAlignment="1" applyProtection="1">
      <alignment horizontal="center"/>
    </xf>
    <xf numFmtId="0" fontId="0" fillId="0" borderId="0" xfId="0" applyBorder="1" applyAlignment="1" applyProtection="1">
      <alignment horizontal="center" vertical="top" wrapText="1"/>
    </xf>
    <xf numFmtId="0" fontId="0" fillId="0" borderId="0" xfId="0" applyFont="1" applyBorder="1" applyAlignment="1" applyProtection="1">
      <alignment horizontal="center" vertical="center"/>
      <protection locked="0"/>
    </xf>
    <xf numFmtId="0" fontId="28" fillId="0" borderId="37" xfId="0" applyFont="1" applyBorder="1" applyAlignment="1" applyProtection="1">
      <alignment horizontal="center" vertical="center"/>
    </xf>
    <xf numFmtId="0" fontId="28" fillId="0" borderId="22" xfId="0" applyFont="1" applyBorder="1" applyAlignment="1" applyProtection="1">
      <alignment horizontal="center" vertical="center"/>
    </xf>
    <xf numFmtId="0" fontId="22" fillId="0" borderId="66" xfId="0" applyFont="1" applyBorder="1" applyAlignment="1" applyProtection="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11" xfId="0" applyFont="1" applyBorder="1" applyAlignment="1" applyProtection="1">
      <alignment horizontal="left" vertical="center"/>
    </xf>
    <xf numFmtId="0" fontId="0" fillId="0" borderId="64" xfId="0" applyBorder="1" applyAlignment="1" applyProtection="1">
      <alignment horizontal="left" vertical="center"/>
    </xf>
    <xf numFmtId="0" fontId="0" fillId="0" borderId="16" xfId="0" applyBorder="1" applyAlignment="1" applyProtection="1">
      <alignment horizontal="left" vertical="center"/>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26" fillId="0" borderId="67" xfId="0" applyFont="1" applyBorder="1" applyAlignment="1" applyProtection="1">
      <alignment horizontal="left" vertical="center"/>
    </xf>
    <xf numFmtId="0" fontId="26" fillId="0" borderId="68" xfId="0" applyFont="1" applyBorder="1" applyAlignment="1" applyProtection="1">
      <alignment horizontal="left" vertical="center"/>
    </xf>
    <xf numFmtId="0" fontId="28" fillId="0" borderId="64" xfId="0" applyFont="1" applyBorder="1" applyAlignment="1" applyProtection="1">
      <alignment horizontal="left" vertical="center"/>
    </xf>
    <xf numFmtId="0" fontId="0" fillId="0" borderId="16" xfId="0" applyBorder="1" applyAlignment="1" applyProtection="1">
      <alignment horizontal="left" vertical="center"/>
      <protection locked="0"/>
    </xf>
    <xf numFmtId="0" fontId="0" fillId="0" borderId="67" xfId="0" applyFont="1" applyBorder="1" applyAlignment="1" applyProtection="1">
      <alignment horizontal="left" vertical="center"/>
    </xf>
    <xf numFmtId="0" fontId="0" fillId="0" borderId="68" xfId="0" applyFont="1" applyBorder="1" applyAlignment="1" applyProtection="1">
      <alignment horizontal="left" vertical="center"/>
    </xf>
    <xf numFmtId="1" fontId="0" fillId="0" borderId="0" xfId="0" applyNumberFormat="1" applyBorder="1" applyAlignment="1">
      <alignment horizontal="left" vertical="center"/>
    </xf>
    <xf numFmtId="0" fontId="0" fillId="0" borderId="64" xfId="0" applyBorder="1" applyAlignment="1">
      <alignment horizontal="left" vertical="center"/>
    </xf>
    <xf numFmtId="174" fontId="0" fillId="0" borderId="16" xfId="0" applyNumberFormat="1" applyBorder="1" applyAlignment="1" applyProtection="1">
      <alignment horizontal="left" vertical="center"/>
      <protection locked="0"/>
    </xf>
    <xf numFmtId="0" fontId="0" fillId="0" borderId="67" xfId="0" applyBorder="1" applyAlignment="1">
      <alignment horizontal="left" vertical="center"/>
    </xf>
    <xf numFmtId="0" fontId="0" fillId="0" borderId="68" xfId="0" applyBorder="1" applyAlignment="1">
      <alignment horizontal="left" vertical="center"/>
    </xf>
    <xf numFmtId="1" fontId="0" fillId="0" borderId="0" xfId="0" applyNumberFormat="1" applyFont="1" applyBorder="1" applyAlignment="1" applyProtection="1">
      <alignment horizontal="left" vertical="center"/>
    </xf>
    <xf numFmtId="1" fontId="0" fillId="0" borderId="11" xfId="0" applyNumberFormat="1" applyFont="1" applyBorder="1" applyAlignment="1" applyProtection="1">
      <alignment horizontal="left" vertical="center"/>
    </xf>
    <xf numFmtId="0" fontId="0" fillId="0" borderId="69" xfId="0" applyBorder="1" applyAlignment="1" applyProtection="1">
      <alignment horizontal="left" vertical="center"/>
    </xf>
    <xf numFmtId="0" fontId="0" fillId="0" borderId="10" xfId="0" applyBorder="1" applyAlignment="1" applyProtection="1">
      <alignment vertical="center"/>
      <protection locked="0"/>
    </xf>
    <xf numFmtId="0" fontId="0" fillId="0" borderId="11" xfId="0" applyBorder="1" applyAlignment="1" applyProtection="1">
      <alignment horizontal="left" vertical="center"/>
    </xf>
    <xf numFmtId="0" fontId="0" fillId="0" borderId="11" xfId="0" applyBorder="1"/>
    <xf numFmtId="0" fontId="0" fillId="0" borderId="10" xfId="0" applyFont="1" applyBorder="1" applyAlignment="1" applyProtection="1">
      <alignment horizontal="left" vertical="center"/>
    </xf>
    <xf numFmtId="0" fontId="0" fillId="0" borderId="70" xfId="0" applyBorder="1"/>
    <xf numFmtId="0" fontId="30" fillId="0" borderId="0" xfId="0" applyFont="1" applyBorder="1" applyAlignment="1" applyProtection="1">
      <alignment horizontal="left" vertical="center"/>
    </xf>
    <xf numFmtId="0" fontId="30" fillId="0" borderId="0"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68" xfId="0" applyFont="1" applyBorder="1" applyAlignment="1" applyProtection="1">
      <alignment horizontal="center" vertical="center"/>
    </xf>
    <xf numFmtId="176" fontId="26" fillId="0" borderId="0" xfId="0" applyNumberFormat="1" applyFont="1" applyBorder="1" applyAlignment="1">
      <alignment horizontal="left" vertical="center"/>
    </xf>
    <xf numFmtId="0" fontId="0" fillId="0" borderId="27" xfId="0" applyBorder="1" applyAlignment="1" applyProtection="1">
      <alignment horizontal="left" vertical="center"/>
    </xf>
    <xf numFmtId="0" fontId="0" fillId="0" borderId="71" xfId="0" applyBorder="1"/>
    <xf numFmtId="0" fontId="22" fillId="0" borderId="11" xfId="0" applyFont="1" applyBorder="1" applyAlignment="1" applyProtection="1">
      <alignment horizontal="center" vertical="center"/>
    </xf>
    <xf numFmtId="0" fontId="22" fillId="0" borderId="0" xfId="0" applyFont="1" applyBorder="1" applyAlignment="1" applyProtection="1">
      <alignment horizontal="left" vertical="center"/>
    </xf>
    <xf numFmtId="0" fontId="32" fillId="0" borderId="0" xfId="0" applyFont="1" applyBorder="1" applyAlignment="1" applyProtection="1">
      <alignment horizontal="left"/>
    </xf>
    <xf numFmtId="0" fontId="0" fillId="0" borderId="10" xfId="0" applyFont="1" applyBorder="1" applyAlignment="1" applyProtection="1">
      <alignment vertical="center"/>
    </xf>
    <xf numFmtId="0" fontId="0" fillId="0" borderId="0" xfId="0" applyFont="1" applyBorder="1" applyAlignment="1" applyProtection="1">
      <alignment vertical="center"/>
    </xf>
    <xf numFmtId="2" fontId="26" fillId="0" borderId="0" xfId="0" applyNumberFormat="1" applyFont="1" applyBorder="1" applyAlignment="1">
      <alignment horizontal="left" vertical="center"/>
    </xf>
    <xf numFmtId="2" fontId="26" fillId="0" borderId="11" xfId="0" applyNumberFormat="1" applyFont="1" applyBorder="1" applyAlignment="1">
      <alignment horizontal="left" vertical="center"/>
    </xf>
    <xf numFmtId="0" fontId="32" fillId="0" borderId="72" xfId="0" applyFont="1" applyBorder="1"/>
    <xf numFmtId="0" fontId="32" fillId="0" borderId="16" xfId="0" applyFont="1" applyBorder="1" applyAlignment="1" applyProtection="1">
      <alignment horizontal="left"/>
    </xf>
    <xf numFmtId="2" fontId="32" fillId="0" borderId="0" xfId="0" applyNumberFormat="1" applyFont="1" applyBorder="1" applyAlignment="1" applyProtection="1">
      <alignment horizontal="left"/>
      <protection locked="0"/>
    </xf>
    <xf numFmtId="2" fontId="32" fillId="0" borderId="11" xfId="0" applyNumberFormat="1" applyFont="1" applyBorder="1" applyAlignment="1" applyProtection="1">
      <alignment horizontal="left"/>
      <protection locked="0"/>
    </xf>
    <xf numFmtId="0" fontId="32" fillId="0" borderId="72" xfId="0" applyFont="1" applyBorder="1" applyAlignment="1" applyProtection="1">
      <alignment horizontal="left"/>
    </xf>
    <xf numFmtId="2" fontId="32" fillId="0" borderId="0" xfId="0" applyNumberFormat="1" applyFont="1" applyBorder="1" applyAlignment="1" applyProtection="1">
      <alignment horizontal="left"/>
    </xf>
    <xf numFmtId="2" fontId="32" fillId="0" borderId="16" xfId="0" applyNumberFormat="1" applyFont="1" applyBorder="1" applyAlignment="1" applyProtection="1">
      <alignment horizontal="left"/>
    </xf>
    <xf numFmtId="176" fontId="32" fillId="0" borderId="0" xfId="0" applyNumberFormat="1" applyFont="1" applyBorder="1" applyAlignment="1" applyProtection="1">
      <alignment horizontal="left"/>
    </xf>
    <xf numFmtId="176" fontId="32" fillId="0" borderId="11" xfId="0" applyNumberFormat="1" applyFont="1" applyBorder="1" applyAlignment="1" applyProtection="1">
      <alignment horizontal="left"/>
    </xf>
    <xf numFmtId="0" fontId="0" fillId="0" borderId="16" xfId="0" applyBorder="1"/>
    <xf numFmtId="0" fontId="32" fillId="0" borderId="0" xfId="0" applyFont="1" applyFill="1" applyBorder="1" applyAlignment="1" applyProtection="1">
      <alignment horizontal="left"/>
    </xf>
    <xf numFmtId="2" fontId="32" fillId="0" borderId="11" xfId="0" applyNumberFormat="1" applyFont="1" applyBorder="1" applyAlignment="1" applyProtection="1">
      <alignment horizontal="left"/>
    </xf>
    <xf numFmtId="0" fontId="32" fillId="0" borderId="11" xfId="0" applyFont="1" applyBorder="1" applyAlignment="1" applyProtection="1">
      <alignment horizontal="left"/>
    </xf>
    <xf numFmtId="0" fontId="22" fillId="0" borderId="16" xfId="0" applyFont="1" applyBorder="1" applyAlignment="1" applyProtection="1">
      <alignment horizontal="left" vertical="center"/>
    </xf>
    <xf numFmtId="0" fontId="22" fillId="0" borderId="11" xfId="0" applyFont="1" applyBorder="1" applyAlignment="1" applyProtection="1">
      <alignment horizontal="left" vertical="center"/>
    </xf>
    <xf numFmtId="0" fontId="0" fillId="0" borderId="72" xfId="0" applyFont="1" applyBorder="1" applyAlignment="1" applyProtection="1">
      <alignment horizontal="left"/>
    </xf>
    <xf numFmtId="0" fontId="32" fillId="0" borderId="0" xfId="0" applyFont="1" applyBorder="1" applyAlignment="1" applyProtection="1">
      <alignment horizontal="left"/>
      <protection locked="0"/>
    </xf>
    <xf numFmtId="0" fontId="32" fillId="0" borderId="0" xfId="0" applyFont="1" applyBorder="1" applyAlignment="1" applyProtection="1"/>
    <xf numFmtId="0" fontId="32" fillId="0" borderId="16" xfId="0" applyFont="1" applyBorder="1" applyAlignment="1" applyProtection="1"/>
    <xf numFmtId="2" fontId="32" fillId="0" borderId="0" xfId="0" applyNumberFormat="1" applyFont="1" applyBorder="1" applyAlignment="1"/>
    <xf numFmtId="2" fontId="32" fillId="0" borderId="16" xfId="0" applyNumberFormat="1" applyFont="1" applyBorder="1" applyAlignment="1"/>
    <xf numFmtId="2" fontId="32" fillId="0" borderId="0" xfId="0" applyNumberFormat="1" applyFont="1" applyBorder="1" applyAlignment="1" applyProtection="1">
      <protection locked="0"/>
    </xf>
    <xf numFmtId="177" fontId="32" fillId="0" borderId="0" xfId="0" applyNumberFormat="1" applyFont="1" applyBorder="1" applyAlignment="1" applyProtection="1">
      <protection locked="0"/>
    </xf>
    <xf numFmtId="177" fontId="32" fillId="0" borderId="16" xfId="0" applyNumberFormat="1" applyFont="1" applyBorder="1" applyAlignment="1" applyProtection="1">
      <protection locked="0"/>
    </xf>
    <xf numFmtId="2" fontId="32" fillId="0" borderId="0" xfId="0" applyNumberFormat="1" applyFont="1" applyBorder="1" applyAlignment="1" applyProtection="1"/>
    <xf numFmtId="0" fontId="32" fillId="0" borderId="73" xfId="0" applyFont="1" applyBorder="1" applyAlignment="1" applyProtection="1"/>
    <xf numFmtId="0" fontId="0" fillId="0" borderId="74" xfId="0" applyBorder="1"/>
    <xf numFmtId="0" fontId="0" fillId="0" borderId="75" xfId="0" applyBorder="1"/>
    <xf numFmtId="0" fontId="22" fillId="0" borderId="75" xfId="0" applyFont="1" applyBorder="1"/>
    <xf numFmtId="0" fontId="0" fillId="0" borderId="76" xfId="0" applyBorder="1"/>
    <xf numFmtId="0" fontId="26" fillId="0" borderId="77" xfId="0" applyFont="1" applyBorder="1"/>
    <xf numFmtId="0" fontId="0" fillId="0" borderId="78" xfId="0" applyBorder="1"/>
    <xf numFmtId="0" fontId="0" fillId="0" borderId="79" xfId="0" applyBorder="1"/>
    <xf numFmtId="0" fontId="0" fillId="0" borderId="72" xfId="0" applyBorder="1" applyProtection="1"/>
    <xf numFmtId="0" fontId="0" fillId="0" borderId="80" xfId="0" applyBorder="1" applyAlignment="1" applyProtection="1">
      <alignment vertical="top"/>
    </xf>
    <xf numFmtId="0" fontId="0" fillId="0" borderId="72" xfId="0" applyBorder="1" applyAlignment="1" applyProtection="1">
      <alignment vertical="top"/>
    </xf>
    <xf numFmtId="0" fontId="0" fillId="0" borderId="70" xfId="0" applyBorder="1" applyAlignment="1" applyProtection="1">
      <alignment vertical="top"/>
    </xf>
    <xf numFmtId="0" fontId="0" fillId="0" borderId="81" xfId="0" applyBorder="1" applyAlignment="1" applyProtection="1">
      <alignment vertical="top"/>
    </xf>
    <xf numFmtId="0" fontId="0" fillId="0" borderId="72" xfId="0" applyBorder="1"/>
    <xf numFmtId="0" fontId="0" fillId="0" borderId="82" xfId="0" applyFont="1" applyBorder="1" applyAlignment="1" applyProtection="1">
      <alignment horizontal="left"/>
    </xf>
    <xf numFmtId="0" fontId="32" fillId="0" borderId="83" xfId="0" applyFont="1" applyBorder="1" applyAlignment="1" applyProtection="1">
      <alignment horizontal="left"/>
    </xf>
    <xf numFmtId="0" fontId="32" fillId="0" borderId="83" xfId="0" applyFont="1" applyBorder="1" applyAlignment="1" applyProtection="1"/>
    <xf numFmtId="0" fontId="32" fillId="0" borderId="84" xfId="0" applyFont="1" applyBorder="1" applyAlignment="1" applyProtection="1"/>
    <xf numFmtId="0" fontId="32" fillId="0" borderId="85" xfId="0" applyFont="1" applyBorder="1" applyAlignment="1" applyProtection="1"/>
    <xf numFmtId="0" fontId="22" fillId="0" borderId="86" xfId="0" applyFont="1" applyBorder="1" applyAlignment="1" applyProtection="1">
      <alignment vertical="center"/>
    </xf>
    <xf numFmtId="0" fontId="22" fillId="0" borderId="78" xfId="0" applyFont="1" applyBorder="1" applyAlignment="1" applyProtection="1">
      <alignment vertical="center"/>
    </xf>
    <xf numFmtId="0" fontId="22" fillId="0" borderId="79" xfId="0" applyFont="1" applyBorder="1" applyAlignment="1" applyProtection="1">
      <alignment vertical="center"/>
    </xf>
    <xf numFmtId="0" fontId="0" fillId="0" borderId="15" xfId="0" applyBorder="1" applyProtection="1"/>
    <xf numFmtId="0" fontId="0" fillId="0" borderId="15" xfId="0" applyFont="1" applyBorder="1" applyAlignment="1" applyProtection="1">
      <alignment horizontal="left"/>
    </xf>
    <xf numFmtId="0" fontId="0" fillId="0" borderId="66" xfId="0" applyFont="1" applyBorder="1" applyAlignment="1" applyProtection="1">
      <alignment horizontal="left"/>
    </xf>
    <xf numFmtId="0" fontId="0" fillId="0" borderId="10" xfId="0" applyBorder="1" applyProtection="1"/>
    <xf numFmtId="0" fontId="0" fillId="0" borderId="11" xfId="0" applyBorder="1" applyProtection="1"/>
    <xf numFmtId="0" fontId="0" fillId="0" borderId="87" xfId="0" applyBorder="1" applyProtection="1"/>
    <xf numFmtId="0" fontId="0" fillId="0" borderId="88" xfId="0" applyBorder="1" applyProtection="1"/>
    <xf numFmtId="0" fontId="0" fillId="0" borderId="89" xfId="0" applyBorder="1" applyProtection="1"/>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52" fillId="0" borderId="73" xfId="0" applyFont="1" applyFill="1" applyBorder="1" applyAlignment="1">
      <alignment horizontal="center" vertical="top" wrapText="1"/>
    </xf>
    <xf numFmtId="0" fontId="32" fillId="0" borderId="73" xfId="0" applyFont="1" applyFill="1" applyBorder="1" applyAlignment="1" applyProtection="1">
      <alignment horizontal="right" vertical="center"/>
    </xf>
    <xf numFmtId="0" fontId="32" fillId="0" borderId="73" xfId="0" applyFont="1" applyFill="1" applyBorder="1"/>
    <xf numFmtId="0" fontId="66" fillId="24" borderId="0" xfId="0" applyFont="1" applyFill="1" applyBorder="1" applyAlignment="1">
      <alignment horizontal="center" vertical="top" wrapText="1"/>
    </xf>
    <xf numFmtId="0" fontId="67" fillId="24" borderId="0" xfId="0" applyFont="1" applyFill="1" applyBorder="1" applyAlignment="1">
      <alignment horizontal="center" vertical="top" wrapText="1"/>
    </xf>
    <xf numFmtId="0" fontId="31" fillId="24" borderId="0" xfId="0" applyFont="1" applyFill="1" applyBorder="1" applyAlignment="1">
      <alignment vertical="center" wrapText="1"/>
    </xf>
    <xf numFmtId="0" fontId="30" fillId="0" borderId="0" xfId="0" applyFont="1" applyBorder="1" applyAlignment="1" applyProtection="1">
      <alignment vertical="top"/>
    </xf>
    <xf numFmtId="0" fontId="56" fillId="0" borderId="0" xfId="0" applyFont="1" applyBorder="1" applyAlignment="1" applyProtection="1">
      <alignment vertical="top"/>
    </xf>
    <xf numFmtId="0" fontId="22" fillId="0" borderId="23" xfId="0" applyFont="1" applyBorder="1"/>
    <xf numFmtId="0" fontId="22" fillId="0" borderId="92" xfId="0" applyFont="1" applyBorder="1"/>
    <xf numFmtId="0" fontId="0" fillId="0" borderId="93" xfId="0" applyBorder="1"/>
    <xf numFmtId="0" fontId="54" fillId="0" borderId="63" xfId="0" applyFont="1" applyFill="1" applyBorder="1" applyAlignment="1">
      <alignment horizontal="center" vertical="top" wrapText="1"/>
    </xf>
    <xf numFmtId="0" fontId="0" fillId="0" borderId="94" xfId="0" applyFont="1" applyFill="1" applyBorder="1" applyAlignment="1" applyProtection="1">
      <alignment horizontal="center" vertical="top"/>
    </xf>
    <xf numFmtId="0" fontId="32" fillId="0" borderId="95" xfId="0" applyFont="1" applyFill="1" applyBorder="1" applyAlignment="1">
      <alignment horizontal="center" vertical="top" wrapText="1"/>
    </xf>
    <xf numFmtId="0" fontId="52" fillId="0" borderId="96" xfId="0" applyFont="1" applyFill="1" applyBorder="1" applyAlignment="1">
      <alignment horizontal="center" vertical="top" wrapText="1"/>
    </xf>
    <xf numFmtId="0" fontId="50" fillId="0" borderId="96" xfId="0" applyFont="1" applyFill="1" applyBorder="1" applyAlignment="1">
      <alignment horizontal="right" vertical="center" wrapText="1"/>
    </xf>
    <xf numFmtId="0" fontId="52" fillId="0" borderId="97" xfId="0" applyFont="1" applyFill="1" applyBorder="1" applyAlignment="1">
      <alignment horizontal="center" vertical="top" wrapText="1"/>
    </xf>
    <xf numFmtId="0" fontId="0" fillId="0" borderId="98" xfId="0" applyFont="1" applyFill="1" applyBorder="1"/>
    <xf numFmtId="0" fontId="52" fillId="0" borderId="93" xfId="0" applyFont="1" applyFill="1" applyBorder="1" applyAlignment="1">
      <alignment horizontal="center" vertical="top" wrapText="1"/>
    </xf>
    <xf numFmtId="0" fontId="52" fillId="0" borderId="93" xfId="0" applyFont="1" applyFill="1" applyBorder="1" applyAlignment="1">
      <alignment vertical="top" wrapText="1"/>
    </xf>
    <xf numFmtId="0" fontId="0" fillId="0" borderId="93" xfId="0" applyFont="1" applyFill="1" applyBorder="1"/>
    <xf numFmtId="0" fontId="52" fillId="0" borderId="95" xfId="0" applyFont="1" applyFill="1" applyBorder="1" applyAlignment="1">
      <alignment horizontal="center" vertical="top" wrapText="1"/>
    </xf>
    <xf numFmtId="0" fontId="52" fillId="0" borderId="95" xfId="0" applyFont="1" applyFill="1" applyBorder="1" applyAlignment="1">
      <alignment vertical="top" wrapText="1"/>
    </xf>
    <xf numFmtId="0" fontId="0" fillId="0" borderId="95" xfId="0" applyFont="1" applyFill="1" applyBorder="1"/>
    <xf numFmtId="0" fontId="0" fillId="0" borderId="95" xfId="0" applyFont="1" applyFill="1" applyBorder="1" applyAlignment="1">
      <alignment vertical="top" wrapText="1"/>
    </xf>
    <xf numFmtId="0" fontId="0" fillId="0" borderId="95" xfId="0" applyFill="1" applyBorder="1" applyAlignment="1">
      <alignment vertical="top" wrapText="1"/>
    </xf>
    <xf numFmtId="0" fontId="32" fillId="0" borderId="96" xfId="0" applyFont="1" applyFill="1" applyBorder="1"/>
    <xf numFmtId="0" fontId="28" fillId="0" borderId="95" xfId="0" applyFont="1" applyFill="1" applyBorder="1" applyAlignment="1">
      <alignment horizontal="center" vertical="top" wrapText="1"/>
    </xf>
    <xf numFmtId="0" fontId="31" fillId="0" borderId="95" xfId="0" applyFont="1" applyFill="1" applyBorder="1" applyAlignment="1">
      <alignment horizontal="center" vertical="top" wrapText="1"/>
    </xf>
    <xf numFmtId="0" fontId="0" fillId="0" borderId="95" xfId="0" applyFont="1" applyFill="1" applyBorder="1" applyAlignment="1">
      <alignment horizontal="center" vertical="top" wrapText="1"/>
    </xf>
    <xf numFmtId="0" fontId="28" fillId="0" borderId="99" xfId="0" applyFont="1" applyFill="1" applyBorder="1" applyAlignment="1">
      <alignment horizontal="center" vertical="top" wrapText="1"/>
    </xf>
    <xf numFmtId="0" fontId="52" fillId="0" borderId="99" xfId="0" applyFont="1" applyFill="1" applyBorder="1" applyAlignment="1">
      <alignment horizontal="center" vertical="top" wrapText="1"/>
    </xf>
    <xf numFmtId="0" fontId="0" fillId="0" borderId="99" xfId="0" applyFont="1" applyFill="1" applyBorder="1" applyAlignment="1">
      <alignment horizontal="center" vertical="top" wrapText="1"/>
    </xf>
    <xf numFmtId="0" fontId="52" fillId="0" borderId="98" xfId="0" applyFont="1" applyFill="1" applyBorder="1" applyAlignment="1">
      <alignment horizontal="center" vertical="top" wrapText="1"/>
    </xf>
    <xf numFmtId="0" fontId="0" fillId="0" borderId="97" xfId="0" applyBorder="1"/>
    <xf numFmtId="0" fontId="68" fillId="24" borderId="64" xfId="0" applyFont="1" applyFill="1" applyBorder="1" applyAlignment="1">
      <alignment horizontal="center" vertical="top" wrapText="1"/>
    </xf>
    <xf numFmtId="0" fontId="67" fillId="24" borderId="68" xfId="0" applyFont="1" applyFill="1" applyBorder="1" applyAlignment="1">
      <alignment horizontal="center" vertical="top" wrapText="1"/>
    </xf>
    <xf numFmtId="0" fontId="67" fillId="24" borderId="64" xfId="0" applyFont="1" applyFill="1" applyBorder="1" applyAlignment="1">
      <alignment horizontal="center" vertical="top" wrapText="1"/>
    </xf>
    <xf numFmtId="0" fontId="31" fillId="0" borderId="64" xfId="0" applyFont="1" applyFill="1" applyBorder="1" applyAlignment="1">
      <alignment vertical="center" wrapText="1"/>
    </xf>
    <xf numFmtId="0" fontId="31" fillId="0" borderId="68" xfId="0" applyFont="1" applyFill="1" applyBorder="1" applyAlignment="1">
      <alignment vertical="center" wrapText="1"/>
    </xf>
    <xf numFmtId="0" fontId="31" fillId="24" borderId="83" xfId="0" applyFont="1" applyFill="1" applyBorder="1" applyAlignment="1">
      <alignment vertical="center" wrapText="1"/>
    </xf>
    <xf numFmtId="0" fontId="30" fillId="0" borderId="78" xfId="0" applyFont="1" applyBorder="1" applyAlignment="1" applyProtection="1">
      <alignment vertical="top"/>
    </xf>
    <xf numFmtId="0" fontId="0" fillId="0" borderId="0" xfId="0" applyAlignment="1">
      <alignment horizontal="right"/>
    </xf>
    <xf numFmtId="0" fontId="0" fillId="25" borderId="0" xfId="0" applyFill="1" applyBorder="1"/>
    <xf numFmtId="1" fontId="0" fillId="0" borderId="15" xfId="0" applyNumberFormat="1"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35" fillId="0" borderId="0" xfId="0" applyFont="1" applyFill="1"/>
    <xf numFmtId="0" fontId="0" fillId="0" borderId="0" xfId="0" applyFont="1" applyFill="1"/>
    <xf numFmtId="0" fontId="0" fillId="26" borderId="41" xfId="0" applyFill="1" applyBorder="1" applyAlignment="1">
      <alignment horizontal="center"/>
    </xf>
    <xf numFmtId="0" fontId="0" fillId="26" borderId="32" xfId="0" applyFill="1" applyBorder="1" applyAlignment="1">
      <alignment horizontal="center"/>
    </xf>
    <xf numFmtId="0" fontId="35" fillId="26" borderId="0" xfId="0" applyFont="1" applyFill="1"/>
    <xf numFmtId="0" fontId="0" fillId="26" borderId="0" xfId="0" applyFont="1" applyFill="1"/>
    <xf numFmtId="4" fontId="46" fillId="25" borderId="0" xfId="62" applyNumberFormat="1" applyFont="1" applyFill="1" applyBorder="1" applyAlignment="1" applyProtection="1"/>
    <xf numFmtId="0" fontId="35" fillId="27" borderId="0" xfId="0" applyFont="1" applyFill="1"/>
    <xf numFmtId="0" fontId="0" fillId="27" borderId="0" xfId="0" applyFont="1" applyFill="1"/>
    <xf numFmtId="172" fontId="46" fillId="28" borderId="0" xfId="62" applyFont="1" applyFill="1" applyBorder="1" applyAlignment="1" applyProtection="1"/>
    <xf numFmtId="0" fontId="0" fillId="27" borderId="40" xfId="0" applyFill="1" applyBorder="1" applyAlignment="1">
      <alignment horizontal="center"/>
    </xf>
    <xf numFmtId="0" fontId="0" fillId="27" borderId="100" xfId="0" applyFill="1" applyBorder="1" applyAlignment="1">
      <alignment horizontal="center"/>
    </xf>
    <xf numFmtId="0" fontId="22" fillId="0" borderId="0"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51" fillId="0" borderId="0" xfId="0" applyFont="1" applyBorder="1" applyAlignment="1" applyProtection="1">
      <alignment horizontal="center"/>
    </xf>
    <xf numFmtId="0" fontId="51" fillId="0" borderId="0" xfId="0" applyFont="1" applyBorder="1" applyProtection="1"/>
    <xf numFmtId="0" fontId="51" fillId="0" borderId="73" xfId="0" applyFont="1" applyBorder="1" applyProtection="1"/>
    <xf numFmtId="0" fontId="51" fillId="0" borderId="96" xfId="0" applyFont="1" applyBorder="1" applyProtection="1"/>
    <xf numFmtId="0" fontId="51" fillId="0" borderId="101" xfId="0" applyFont="1" applyBorder="1" applyProtection="1"/>
    <xf numFmtId="0" fontId="51" fillId="0" borderId="97" xfId="0" applyFont="1" applyBorder="1" applyProtection="1"/>
    <xf numFmtId="0" fontId="51" fillId="0" borderId="83" xfId="0" applyFont="1" applyBorder="1" applyAlignment="1" applyProtection="1">
      <alignment horizontal="center" vertical="center"/>
    </xf>
    <xf numFmtId="0" fontId="51" fillId="0" borderId="98" xfId="0" applyFont="1" applyBorder="1" applyProtection="1"/>
    <xf numFmtId="0" fontId="0" fillId="0" borderId="0" xfId="0" applyBorder="1" applyAlignment="1"/>
    <xf numFmtId="0" fontId="28" fillId="0" borderId="101" xfId="0" applyFont="1" applyBorder="1" applyAlignment="1" applyProtection="1">
      <alignment horizontal="center" vertical="center"/>
      <protection locked="0"/>
    </xf>
    <xf numFmtId="0" fontId="28" fillId="0" borderId="0" xfId="0" applyFont="1" applyBorder="1" applyAlignment="1" applyProtection="1">
      <alignment vertical="center"/>
    </xf>
    <xf numFmtId="0" fontId="28" fillId="0" borderId="0" xfId="0" applyFont="1" applyBorder="1"/>
    <xf numFmtId="0" fontId="28" fillId="0" borderId="101" xfId="0" applyFont="1" applyBorder="1"/>
    <xf numFmtId="0" fontId="28" fillId="0" borderId="101" xfId="0" applyFont="1" applyBorder="1" applyAlignment="1">
      <alignment horizontal="left"/>
    </xf>
    <xf numFmtId="0" fontId="58" fillId="0" borderId="101" xfId="0" applyFont="1" applyBorder="1" applyAlignment="1">
      <alignment horizontal="left"/>
    </xf>
    <xf numFmtId="0" fontId="28" fillId="0" borderId="101" xfId="0" applyFont="1" applyBorder="1" applyAlignment="1">
      <alignment horizontal="center" vertical="center"/>
    </xf>
    <xf numFmtId="0" fontId="28" fillId="0" borderId="96" xfId="0" applyFont="1" applyBorder="1" applyAlignment="1">
      <alignment vertical="center"/>
    </xf>
    <xf numFmtId="0" fontId="28" fillId="0" borderId="102" xfId="0" applyFont="1" applyBorder="1" applyAlignment="1">
      <alignment vertical="center"/>
    </xf>
    <xf numFmtId="0" fontId="28" fillId="0" borderId="101" xfId="0" applyFont="1" applyBorder="1" applyAlignment="1">
      <alignment vertical="center"/>
    </xf>
    <xf numFmtId="0" fontId="28" fillId="0" borderId="96" xfId="0" applyFont="1" applyBorder="1" applyAlignment="1">
      <alignment horizontal="left" vertical="center"/>
    </xf>
    <xf numFmtId="0" fontId="0" fillId="0" borderId="0" xfId="0" applyBorder="1" applyAlignment="1">
      <alignment horizontal="center" vertical="center"/>
    </xf>
    <xf numFmtId="0" fontId="23" fillId="0" borderId="64" xfId="0" applyFont="1" applyBorder="1" applyAlignment="1" applyProtection="1">
      <alignment horizontal="center" vertical="center"/>
      <protection locked="0"/>
    </xf>
    <xf numFmtId="0" fontId="23" fillId="0" borderId="64" xfId="0" applyFont="1" applyBorder="1" applyAlignment="1">
      <alignment horizontal="center"/>
    </xf>
    <xf numFmtId="0" fontId="22" fillId="0" borderId="64" xfId="0" applyFont="1" applyBorder="1" applyAlignment="1">
      <alignment horizontal="center"/>
    </xf>
    <xf numFmtId="0" fontId="32" fillId="0" borderId="96" xfId="0" applyFont="1" applyBorder="1" applyAlignment="1" applyProtection="1">
      <alignment horizontal="left" vertical="center"/>
    </xf>
    <xf numFmtId="0" fontId="32" fillId="0" borderId="96" xfId="0" applyFont="1" applyBorder="1"/>
    <xf numFmtId="0" fontId="0" fillId="0" borderId="94" xfId="0" applyBorder="1"/>
    <xf numFmtId="0" fontId="0" fillId="0" borderId="73" xfId="0" applyBorder="1"/>
    <xf numFmtId="0" fontId="32" fillId="0" borderId="0" xfId="0" applyFont="1" applyBorder="1" applyAlignment="1" applyProtection="1">
      <alignment vertical="center"/>
    </xf>
    <xf numFmtId="0" fontId="23" fillId="0" borderId="0" xfId="0" applyFont="1" applyBorder="1" applyAlignment="1" applyProtection="1">
      <alignment horizontal="center" vertical="center"/>
      <protection locked="0"/>
    </xf>
    <xf numFmtId="0" fontId="32" fillId="0" borderId="73" xfId="0" applyFont="1" applyBorder="1" applyAlignment="1" applyProtection="1">
      <alignment vertical="center"/>
    </xf>
    <xf numFmtId="0" fontId="32" fillId="0" borderId="0" xfId="0" applyFont="1" applyBorder="1" applyAlignment="1">
      <alignment vertical="center"/>
    </xf>
    <xf numFmtId="0" fontId="51" fillId="0" borderId="103" xfId="0" applyFont="1" applyBorder="1" applyProtection="1"/>
    <xf numFmtId="0" fontId="0" fillId="0" borderId="97" xfId="0" applyBorder="1" applyProtection="1"/>
    <xf numFmtId="0" fontId="0" fillId="0" borderId="83" xfId="0" applyBorder="1" applyProtection="1"/>
    <xf numFmtId="0" fontId="0" fillId="0" borderId="98" xfId="0" applyBorder="1" applyProtection="1"/>
    <xf numFmtId="0" fontId="28" fillId="0" borderId="0" xfId="0" applyFont="1"/>
    <xf numFmtId="0" fontId="22" fillId="0" borderId="96" xfId="0" applyFont="1" applyBorder="1" applyAlignment="1">
      <alignment horizontal="center" vertical="center"/>
    </xf>
    <xf numFmtId="0" fontId="28" fillId="0" borderId="0" xfId="0" applyFont="1" applyAlignment="1">
      <alignment horizontal="left"/>
    </xf>
    <xf numFmtId="0" fontId="28" fillId="0" borderId="0" xfId="0" applyFont="1" applyAlignment="1">
      <alignment horizontal="left" vertical="center"/>
    </xf>
    <xf numFmtId="4" fontId="23" fillId="0" borderId="0" xfId="0" applyNumberFormat="1" applyFont="1" applyAlignment="1" applyProtection="1">
      <alignment horizontal="left"/>
      <protection locked="0"/>
    </xf>
    <xf numFmtId="0" fontId="23" fillId="0" borderId="0" xfId="0" applyFont="1" applyAlignment="1">
      <alignment horizontal="left"/>
    </xf>
    <xf numFmtId="0" fontId="23" fillId="0" borderId="0" xfId="0" applyFont="1" applyAlignment="1">
      <alignment vertical="center"/>
    </xf>
    <xf numFmtId="4" fontId="23" fillId="0" borderId="73" xfId="0" applyNumberFormat="1" applyFont="1" applyBorder="1" applyAlignment="1" applyProtection="1">
      <alignment horizontal="left"/>
      <protection locked="0"/>
    </xf>
    <xf numFmtId="0" fontId="22" fillId="0" borderId="0" xfId="0" applyFont="1" applyAlignment="1">
      <alignment horizontal="center" vertical="center"/>
    </xf>
    <xf numFmtId="0" fontId="22" fillId="0" borderId="73" xfId="0" applyFont="1" applyBorder="1" applyAlignment="1">
      <alignment horizontal="center" vertical="center"/>
    </xf>
    <xf numFmtId="0" fontId="28" fillId="0" borderId="73" xfId="0" applyFont="1" applyBorder="1" applyAlignment="1">
      <alignment horizontal="left" vertical="center"/>
    </xf>
    <xf numFmtId="0" fontId="23" fillId="0" borderId="0" xfId="0" applyFont="1" applyAlignment="1">
      <alignment horizontal="center" vertical="center"/>
    </xf>
    <xf numFmtId="0" fontId="28" fillId="0" borderId="0" xfId="0" applyFont="1" applyAlignment="1">
      <alignment vertical="center"/>
    </xf>
    <xf numFmtId="0" fontId="23" fillId="0" borderId="73" xfId="0" applyFont="1" applyBorder="1" applyAlignment="1">
      <alignment horizontal="center" vertical="center"/>
    </xf>
    <xf numFmtId="0" fontId="28" fillId="0" borderId="102" xfId="0" applyFont="1" applyBorder="1" applyAlignment="1">
      <alignment horizontal="left" vertical="center"/>
    </xf>
    <xf numFmtId="0" fontId="28" fillId="0" borderId="101" xfId="0" applyFont="1" applyBorder="1" applyAlignment="1">
      <alignment horizontal="left" vertical="center"/>
    </xf>
    <xf numFmtId="0" fontId="23" fillId="0" borderId="101" xfId="0" applyFont="1" applyBorder="1" applyAlignment="1">
      <alignment horizontal="center" vertical="center"/>
    </xf>
    <xf numFmtId="0" fontId="23" fillId="0" borderId="104" xfId="0" applyFont="1" applyBorder="1" applyAlignment="1">
      <alignment horizontal="center" vertical="center"/>
    </xf>
    <xf numFmtId="0" fontId="28" fillId="0" borderId="0" xfId="0" applyFont="1" applyAlignment="1" applyProtection="1">
      <alignment horizontal="center" vertical="center"/>
      <protection locked="0"/>
    </xf>
    <xf numFmtId="0" fontId="23" fillId="0" borderId="64" xfId="0" applyFont="1" applyBorder="1" applyAlignment="1">
      <alignment horizontal="center" vertical="center" wrapText="1"/>
    </xf>
    <xf numFmtId="0" fontId="28" fillId="0" borderId="0" xfId="0" applyFont="1" applyAlignment="1">
      <alignment vertical="top" wrapText="1"/>
    </xf>
    <xf numFmtId="0" fontId="41" fillId="0" borderId="0" xfId="0" applyFont="1" applyAlignment="1">
      <alignment vertical="center"/>
    </xf>
    <xf numFmtId="0" fontId="41" fillId="0" borderId="0" xfId="0" applyFont="1" applyAlignment="1">
      <alignment horizontal="right" vertical="center"/>
    </xf>
    <xf numFmtId="0" fontId="23" fillId="0" borderId="63" xfId="0" applyFont="1" applyBorder="1" applyAlignment="1">
      <alignment vertical="center"/>
    </xf>
    <xf numFmtId="0" fontId="23" fillId="0" borderId="64" xfId="0" applyFont="1" applyBorder="1" applyAlignment="1">
      <alignment horizontal="center" vertical="center"/>
    </xf>
    <xf numFmtId="0" fontId="28" fillId="0" borderId="0" xfId="0" applyFont="1" applyAlignment="1">
      <alignment vertical="center" wrapText="1"/>
    </xf>
    <xf numFmtId="0" fontId="28" fillId="0" borderId="64" xfId="0" applyFont="1" applyBorder="1"/>
    <xf numFmtId="0" fontId="58" fillId="0" borderId="0" xfId="0" applyFont="1" applyAlignment="1">
      <alignment horizontal="left"/>
    </xf>
    <xf numFmtId="0" fontId="58" fillId="0" borderId="0" xfId="0" applyFont="1"/>
    <xf numFmtId="0" fontId="28" fillId="0" borderId="101" xfId="0" applyFont="1" applyBorder="1" applyAlignment="1">
      <alignment horizontal="center" vertical="center" wrapText="1"/>
    </xf>
    <xf numFmtId="0" fontId="28" fillId="0" borderId="104" xfId="0" applyFont="1" applyBorder="1" applyAlignment="1">
      <alignment horizontal="center" vertical="center"/>
    </xf>
    <xf numFmtId="0" fontId="28" fillId="0" borderId="0" xfId="0" applyFont="1" applyAlignment="1">
      <alignment horizontal="center" vertical="top" wrapText="1"/>
    </xf>
    <xf numFmtId="0" fontId="28" fillId="0" borderId="0" xfId="0" applyFont="1" applyAlignment="1">
      <alignment horizontal="center" vertical="center"/>
    </xf>
    <xf numFmtId="0" fontId="28" fillId="0" borderId="73" xfId="0" applyFont="1" applyBorder="1" applyAlignment="1">
      <alignment horizontal="center" vertical="center"/>
    </xf>
    <xf numFmtId="0" fontId="59" fillId="0" borderId="0" xfId="0" applyFont="1" applyAlignment="1">
      <alignment horizontal="center"/>
    </xf>
    <xf numFmtId="0" fontId="28" fillId="0" borderId="64" xfId="0" applyFont="1" applyBorder="1" applyAlignment="1" applyProtection="1">
      <alignment horizontal="center" vertical="center"/>
      <protection locked="0"/>
    </xf>
    <xf numFmtId="0" fontId="0" fillId="0" borderId="101" xfId="0" applyFont="1" applyBorder="1"/>
    <xf numFmtId="0" fontId="0" fillId="0" borderId="0" xfId="0" applyFont="1" applyAlignment="1">
      <alignment horizontal="center" vertical="center"/>
    </xf>
    <xf numFmtId="1" fontId="28" fillId="0" borderId="0" xfId="0" applyNumberFormat="1" applyFont="1" applyAlignment="1">
      <alignment horizontal="left" vertical="center"/>
    </xf>
    <xf numFmtId="1" fontId="28" fillId="0" borderId="73" xfId="0" applyNumberFormat="1" applyFont="1" applyBorder="1" applyAlignment="1">
      <alignment horizontal="left" vertical="center"/>
    </xf>
    <xf numFmtId="0" fontId="23" fillId="0" borderId="0" xfId="0" applyFont="1" applyAlignment="1" applyProtection="1">
      <alignment vertical="center"/>
      <protection locked="0"/>
    </xf>
    <xf numFmtId="0" fontId="30" fillId="0" borderId="73" xfId="0" applyFont="1" applyBorder="1" applyAlignment="1">
      <alignment horizontal="left" vertical="center"/>
    </xf>
    <xf numFmtId="0" fontId="0" fillId="0" borderId="96" xfId="0" applyFont="1" applyBorder="1"/>
    <xf numFmtId="174" fontId="28" fillId="0" borderId="0" xfId="0" applyNumberFormat="1" applyFont="1" applyAlignment="1">
      <alignment horizontal="left" vertical="center"/>
    </xf>
    <xf numFmtId="174" fontId="28" fillId="0" borderId="73" xfId="0" applyNumberFormat="1" applyFont="1" applyBorder="1" applyAlignment="1">
      <alignment vertical="center"/>
    </xf>
    <xf numFmtId="174" fontId="28" fillId="0" borderId="0" xfId="0" applyNumberFormat="1" applyFont="1" applyAlignment="1">
      <alignment vertical="center"/>
    </xf>
    <xf numFmtId="0" fontId="28" fillId="0" borderId="96" xfId="0" applyFont="1" applyBorder="1" applyAlignment="1" applyProtection="1">
      <alignment horizontal="center" vertical="center"/>
      <protection locked="0"/>
    </xf>
    <xf numFmtId="0" fontId="28" fillId="0" borderId="98" xfId="0" applyFont="1" applyBorder="1" applyAlignment="1">
      <alignment horizontal="left" vertical="center"/>
    </xf>
    <xf numFmtId="0" fontId="28" fillId="0" borderId="73" xfId="0" applyFont="1" applyBorder="1" applyAlignment="1">
      <alignment vertical="center"/>
    </xf>
    <xf numFmtId="0" fontId="28" fillId="0" borderId="97" xfId="0" applyFont="1" applyBorder="1" applyAlignment="1">
      <alignment horizontal="left" vertical="center"/>
    </xf>
    <xf numFmtId="2" fontId="28" fillId="0" borderId="0" xfId="0" applyNumberFormat="1" applyFont="1" applyAlignment="1">
      <alignment horizontal="left" vertical="center"/>
    </xf>
    <xf numFmtId="2" fontId="28" fillId="0" borderId="73" xfId="0" applyNumberFormat="1" applyFont="1" applyBorder="1" applyAlignment="1">
      <alignment horizontal="left" vertical="center"/>
    </xf>
    <xf numFmtId="0" fontId="28" fillId="0" borderId="105" xfId="0" applyFont="1" applyBorder="1" applyAlignment="1">
      <alignment horizontal="left"/>
    </xf>
    <xf numFmtId="2" fontId="28" fillId="0" borderId="0" xfId="0" applyNumberFormat="1" applyFont="1" applyAlignment="1">
      <alignment horizontal="left"/>
    </xf>
    <xf numFmtId="2" fontId="28" fillId="0" borderId="50" xfId="0" applyNumberFormat="1" applyFont="1" applyBorder="1" applyAlignment="1">
      <alignment horizontal="left"/>
    </xf>
    <xf numFmtId="2" fontId="28" fillId="0" borderId="73" xfId="0" applyNumberFormat="1" applyFont="1" applyBorder="1" applyAlignment="1">
      <alignment horizontal="left"/>
    </xf>
    <xf numFmtId="2" fontId="0" fillId="0" borderId="0" xfId="0" applyNumberFormat="1" applyFont="1"/>
    <xf numFmtId="2" fontId="41" fillId="0" borderId="106" xfId="0" applyNumberFormat="1" applyFont="1" applyBorder="1" applyAlignment="1">
      <alignment horizontal="center"/>
    </xf>
    <xf numFmtId="0" fontId="23" fillId="0" borderId="102" xfId="0" applyFont="1" applyBorder="1" applyAlignment="1">
      <alignment horizontal="left" vertical="center"/>
    </xf>
    <xf numFmtId="0" fontId="23" fillId="0" borderId="101" xfId="0" applyFont="1" applyBorder="1" applyAlignment="1">
      <alignment horizontal="left" vertical="center"/>
    </xf>
    <xf numFmtId="0" fontId="22" fillId="0" borderId="17" xfId="0" applyFont="1" applyBorder="1" applyAlignment="1" applyProtection="1">
      <alignment horizontal="left" vertical="top"/>
    </xf>
    <xf numFmtId="0" fontId="0" fillId="0" borderId="18" xfId="0" applyFont="1" applyBorder="1" applyAlignment="1" applyProtection="1">
      <alignment horizontal="center" vertical="top"/>
    </xf>
    <xf numFmtId="0" fontId="0" fillId="0" borderId="107" xfId="0" applyFont="1" applyBorder="1"/>
    <xf numFmtId="0" fontId="22" fillId="0" borderId="12" xfId="0" applyFont="1" applyBorder="1" applyAlignment="1">
      <alignment horizontal="center"/>
    </xf>
    <xf numFmtId="0" fontId="0" fillId="0" borderId="19" xfId="0" applyFont="1" applyBorder="1" applyAlignment="1" applyProtection="1">
      <alignment horizontal="left" vertical="top"/>
    </xf>
    <xf numFmtId="0" fontId="0" fillId="0" borderId="0" xfId="0" applyFont="1" applyBorder="1" applyAlignment="1" applyProtection="1">
      <alignment horizontal="left" vertical="top"/>
    </xf>
    <xf numFmtId="0" fontId="22" fillId="0" borderId="107" xfId="0" applyFont="1" applyBorder="1" applyAlignment="1">
      <alignment horizontal="center"/>
    </xf>
    <xf numFmtId="0" fontId="22" fillId="0" borderId="12" xfId="0" applyFont="1" applyBorder="1" applyAlignment="1" applyProtection="1">
      <alignment horizontal="center" vertical="center"/>
    </xf>
    <xf numFmtId="0" fontId="0" fillId="0" borderId="108" xfId="0" applyFont="1" applyBorder="1" applyAlignment="1" applyProtection="1">
      <alignment horizontal="center" vertical="top"/>
    </xf>
    <xf numFmtId="0" fontId="22" fillId="0" borderId="63" xfId="0" applyFont="1" applyBorder="1"/>
    <xf numFmtId="0" fontId="0" fillId="0" borderId="96" xfId="0" applyBorder="1"/>
    <xf numFmtId="0" fontId="0" fillId="0" borderId="0" xfId="0" applyFont="1" applyBorder="1" applyAlignment="1" applyProtection="1">
      <alignment horizontal="center"/>
      <protection locked="0"/>
    </xf>
    <xf numFmtId="0" fontId="0" fillId="0" borderId="0" xfId="0" applyFont="1" applyFill="1" applyBorder="1" applyAlignment="1" applyProtection="1">
      <alignment horizontal="center"/>
      <protection locked="0"/>
    </xf>
    <xf numFmtId="4" fontId="28" fillId="0" borderId="0" xfId="0" applyNumberFormat="1" applyFont="1" applyBorder="1" applyAlignment="1" applyProtection="1">
      <alignment horizontal="left"/>
      <protection locked="0"/>
    </xf>
    <xf numFmtId="4" fontId="0" fillId="0" borderId="0" xfId="0" applyNumberFormat="1" applyFont="1" applyBorder="1" applyAlignment="1" applyProtection="1">
      <alignment horizontal="left"/>
      <protection locked="0"/>
    </xf>
    <xf numFmtId="0" fontId="22" fillId="0" borderId="0" xfId="0" applyFont="1" applyBorder="1" applyAlignment="1">
      <alignment horizontal="left"/>
    </xf>
    <xf numFmtId="0" fontId="22" fillId="0" borderId="96"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ill="1" applyBorder="1"/>
    <xf numFmtId="0" fontId="28" fillId="0" borderId="96" xfId="0" applyFont="1" applyBorder="1" applyAlignment="1" applyProtection="1">
      <alignment horizontal="left" vertical="center"/>
    </xf>
    <xf numFmtId="0" fontId="23" fillId="0" borderId="0" xfId="0" applyFont="1" applyBorder="1" applyAlignment="1" applyProtection="1">
      <alignment horizontal="center" vertical="center"/>
    </xf>
    <xf numFmtId="0" fontId="28" fillId="0" borderId="96" xfId="0" applyFont="1" applyBorder="1" applyAlignment="1" applyProtection="1">
      <alignment vertical="center"/>
    </xf>
    <xf numFmtId="0" fontId="28" fillId="0" borderId="102" xfId="0" applyFont="1" applyBorder="1" applyAlignment="1" applyProtection="1">
      <alignment horizontal="left" vertical="center"/>
    </xf>
    <xf numFmtId="0" fontId="28" fillId="0" borderId="101" xfId="0" applyFont="1" applyBorder="1" applyAlignment="1" applyProtection="1">
      <alignment horizontal="left" vertical="center"/>
    </xf>
    <xf numFmtId="0" fontId="23" fillId="0" borderId="101" xfId="0" applyFont="1" applyBorder="1" applyAlignment="1" applyProtection="1">
      <alignment horizontal="center" vertical="center"/>
    </xf>
    <xf numFmtId="0" fontId="28" fillId="0" borderId="0" xfId="0" applyFont="1" applyBorder="1" applyAlignment="1" applyProtection="1">
      <alignment horizontal="center" vertical="center"/>
      <protection locked="0"/>
    </xf>
    <xf numFmtId="0" fontId="28" fillId="0" borderId="0" xfId="0" applyFont="1" applyBorder="1" applyAlignment="1" applyProtection="1">
      <alignment vertical="top" wrapText="1"/>
    </xf>
    <xf numFmtId="0" fontId="28" fillId="0" borderId="0" xfId="0" applyFont="1" applyBorder="1" applyAlignment="1">
      <alignment horizontal="left"/>
    </xf>
    <xf numFmtId="0" fontId="58" fillId="0" borderId="0" xfId="0" applyFont="1" applyBorder="1" applyAlignment="1">
      <alignment horizontal="left"/>
    </xf>
    <xf numFmtId="0" fontId="23" fillId="0" borderId="0" xfId="0" applyFont="1" applyBorder="1" applyAlignment="1">
      <alignment vertical="center"/>
    </xf>
    <xf numFmtId="0" fontId="32" fillId="0" borderId="0" xfId="0" applyFont="1" applyBorder="1" applyAlignment="1"/>
    <xf numFmtId="0" fontId="58" fillId="0" borderId="0" xfId="0" applyFont="1" applyBorder="1" applyAlignment="1"/>
    <xf numFmtId="0" fontId="41" fillId="0" borderId="0" xfId="0" applyFont="1" applyBorder="1" applyAlignment="1">
      <alignment horizontal="right"/>
    </xf>
    <xf numFmtId="0" fontId="28" fillId="0" borderId="0" xfId="0" applyFont="1" applyBorder="1" applyAlignment="1" applyProtection="1">
      <alignment vertical="center" wrapText="1"/>
    </xf>
    <xf numFmtId="0" fontId="28" fillId="0" borderId="101" xfId="0" applyFont="1" applyBorder="1" applyAlignment="1" applyProtection="1">
      <alignment horizontal="center" vertical="center" wrapText="1"/>
    </xf>
    <xf numFmtId="0" fontId="28" fillId="0" borderId="0" xfId="0" applyFont="1" applyBorder="1" applyAlignment="1" applyProtection="1">
      <alignment horizontal="center" vertical="top" wrapText="1"/>
    </xf>
    <xf numFmtId="0" fontId="28" fillId="0" borderId="0" xfId="0" applyFont="1" applyBorder="1" applyAlignment="1">
      <alignment horizontal="center" vertical="center"/>
    </xf>
    <xf numFmtId="0" fontId="28" fillId="0" borderId="0" xfId="0" applyFont="1" applyBorder="1" applyAlignment="1">
      <alignment vertical="center"/>
    </xf>
    <xf numFmtId="0" fontId="59" fillId="0" borderId="0" xfId="0" applyFont="1" applyBorder="1" applyAlignment="1"/>
    <xf numFmtId="0" fontId="58" fillId="0" borderId="0" xfId="0" applyFont="1" applyBorder="1" applyAlignment="1">
      <alignment horizontal="right"/>
    </xf>
    <xf numFmtId="0" fontId="28" fillId="0" borderId="101" xfId="0" applyFont="1" applyBorder="1" applyAlignment="1" applyProtection="1">
      <alignment vertical="center"/>
    </xf>
    <xf numFmtId="0" fontId="0" fillId="0" borderId="101" xfId="0" applyBorder="1"/>
    <xf numFmtId="0" fontId="28" fillId="0" borderId="0" xfId="0" applyFont="1" applyBorder="1" applyAlignment="1">
      <alignment horizontal="left" vertical="center"/>
    </xf>
    <xf numFmtId="1" fontId="28" fillId="0" borderId="0" xfId="0" applyNumberFormat="1" applyFont="1" applyBorder="1" applyAlignment="1">
      <alignment horizontal="left" vertical="center"/>
    </xf>
    <xf numFmtId="174" fontId="28" fillId="0" borderId="73" xfId="0" applyNumberFormat="1" applyFont="1" applyBorder="1" applyAlignment="1" applyProtection="1">
      <alignment vertical="center"/>
    </xf>
    <xf numFmtId="174" fontId="28" fillId="0" borderId="0" xfId="0" applyNumberFormat="1" applyFont="1" applyBorder="1" applyAlignment="1" applyProtection="1">
      <alignment vertical="center"/>
    </xf>
    <xf numFmtId="0" fontId="22" fillId="0" borderId="109"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8" fillId="0" borderId="12" xfId="0" applyFont="1" applyBorder="1" applyAlignment="1" applyProtection="1">
      <alignment horizontal="left" vertical="center"/>
    </xf>
    <xf numFmtId="2" fontId="63" fillId="0" borderId="0" xfId="0" applyNumberFormat="1" applyFont="1" applyBorder="1" applyAlignment="1" applyProtection="1">
      <alignment horizontal="left" vertical="center"/>
    </xf>
    <xf numFmtId="0" fontId="28" fillId="0" borderId="110" xfId="0" applyFont="1" applyBorder="1" applyAlignment="1" applyProtection="1">
      <alignment horizontal="left" vertical="center"/>
    </xf>
    <xf numFmtId="2" fontId="28" fillId="0" borderId="12" xfId="0" applyNumberFormat="1" applyFont="1" applyBorder="1" applyAlignment="1" applyProtection="1">
      <alignment horizontal="left" vertical="center"/>
    </xf>
    <xf numFmtId="0" fontId="22" fillId="0" borderId="24" xfId="0" applyFont="1" applyBorder="1" applyAlignment="1" applyProtection="1">
      <alignment vertical="center"/>
    </xf>
    <xf numFmtId="0" fontId="0" fillId="0" borderId="24" xfId="0" applyFont="1" applyBorder="1" applyAlignment="1" applyProtection="1">
      <alignment horizontal="left" vertical="center"/>
    </xf>
    <xf numFmtId="0" fontId="0" fillId="0" borderId="25" xfId="0" applyFont="1" applyBorder="1" applyAlignment="1" applyProtection="1">
      <alignment horizontal="left" vertical="center"/>
    </xf>
    <xf numFmtId="0" fontId="22" fillId="0" borderId="23" xfId="0" applyFont="1" applyBorder="1" applyAlignment="1" applyProtection="1">
      <alignment horizontal="left" vertical="center"/>
    </xf>
    <xf numFmtId="0" fontId="22" fillId="0" borderId="29" xfId="0" applyFont="1" applyBorder="1" applyAlignment="1" applyProtection="1">
      <alignment horizontal="left" vertical="center"/>
    </xf>
    <xf numFmtId="2" fontId="0" fillId="0" borderId="0" xfId="0" applyNumberFormat="1" applyProtection="1"/>
    <xf numFmtId="0" fontId="35" fillId="0" borderId="0" xfId="0" applyFont="1" applyProtection="1"/>
    <xf numFmtId="0" fontId="69" fillId="0" borderId="64" xfId="0" applyFont="1" applyBorder="1" applyAlignment="1">
      <alignment horizontal="center"/>
    </xf>
    <xf numFmtId="0" fontId="70" fillId="0" borderId="0" xfId="0" applyFont="1" applyFill="1" applyBorder="1" applyAlignment="1" applyProtection="1">
      <alignment horizontal="left"/>
      <protection locked="0"/>
    </xf>
    <xf numFmtId="0" fontId="70" fillId="0" borderId="0" xfId="0" applyFont="1" applyBorder="1" applyAlignment="1" applyProtection="1">
      <alignment horizontal="left"/>
      <protection locked="0"/>
    </xf>
    <xf numFmtId="0" fontId="70" fillId="0" borderId="12" xfId="0" applyFont="1" applyBorder="1" applyAlignment="1" applyProtection="1">
      <alignment horizontal="left"/>
      <protection locked="0"/>
    </xf>
    <xf numFmtId="0" fontId="69" fillId="0" borderId="64" xfId="0" applyFont="1" applyBorder="1" applyAlignment="1">
      <alignment horizontal="center" vertical="center"/>
    </xf>
    <xf numFmtId="0" fontId="69" fillId="0" borderId="0" xfId="0" applyFont="1" applyBorder="1" applyAlignment="1" applyProtection="1">
      <alignment horizontal="left" vertical="center"/>
    </xf>
    <xf numFmtId="0" fontId="69" fillId="0" borderId="64" xfId="0" applyFont="1" applyBorder="1" applyAlignment="1" applyProtection="1">
      <alignment horizontal="center" vertical="center" wrapText="1"/>
    </xf>
    <xf numFmtId="0" fontId="69" fillId="0" borderId="64" xfId="0" applyFont="1" applyBorder="1" applyAlignment="1" applyProtection="1">
      <alignment horizontal="center" vertical="center"/>
      <protection locked="0"/>
    </xf>
    <xf numFmtId="0" fontId="70" fillId="0" borderId="64" xfId="0" applyFont="1" applyBorder="1" applyAlignment="1">
      <alignment horizontal="center"/>
    </xf>
    <xf numFmtId="174" fontId="70" fillId="0" borderId="0" xfId="0" applyNumberFormat="1" applyFont="1" applyBorder="1" applyAlignment="1" applyProtection="1">
      <alignment horizontal="center"/>
      <protection locked="0"/>
    </xf>
    <xf numFmtId="0" fontId="69" fillId="0" borderId="0" xfId="0" applyFont="1" applyBorder="1" applyAlignment="1">
      <alignment horizontal="center" vertical="center"/>
    </xf>
    <xf numFmtId="0" fontId="70" fillId="0" borderId="14" xfId="0" applyFont="1" applyBorder="1" applyAlignment="1" applyProtection="1">
      <alignment horizontal="center" vertical="center"/>
      <protection locked="0"/>
    </xf>
    <xf numFmtId="0" fontId="71" fillId="0" borderId="0" xfId="0" applyFont="1" applyBorder="1" applyAlignment="1"/>
    <xf numFmtId="0" fontId="28" fillId="0" borderId="73" xfId="0" applyFont="1" applyBorder="1" applyAlignment="1" applyProtection="1">
      <alignment horizontal="left" vertical="center"/>
    </xf>
    <xf numFmtId="0" fontId="70" fillId="0" borderId="0" xfId="0" applyFont="1" applyBorder="1" applyAlignment="1" applyProtection="1">
      <alignment vertical="center"/>
      <protection locked="0"/>
    </xf>
    <xf numFmtId="2" fontId="70" fillId="0" borderId="0" xfId="0" applyNumberFormat="1" applyFont="1" applyBorder="1" applyAlignment="1" applyProtection="1">
      <alignment vertical="center"/>
      <protection locked="0"/>
    </xf>
    <xf numFmtId="176" fontId="70" fillId="0" borderId="0" xfId="0" applyNumberFormat="1" applyFont="1" applyBorder="1" applyAlignment="1" applyProtection="1">
      <alignment vertical="center"/>
    </xf>
    <xf numFmtId="0" fontId="22" fillId="0" borderId="67" xfId="0" applyFont="1" applyBorder="1" applyAlignment="1" applyProtection="1">
      <alignment horizontal="left" vertical="top"/>
    </xf>
    <xf numFmtId="0" fontId="0" fillId="0" borderId="75" xfId="0" applyFont="1" applyBorder="1" applyAlignment="1" applyProtection="1">
      <alignment horizontal="left" vertical="top"/>
    </xf>
    <xf numFmtId="0" fontId="22" fillId="0" borderId="75" xfId="0" applyFont="1" applyBorder="1" applyAlignment="1" applyProtection="1">
      <alignment horizontal="center" vertical="center"/>
    </xf>
    <xf numFmtId="0" fontId="0" fillId="0" borderId="75" xfId="0" applyFont="1" applyBorder="1" applyAlignment="1" applyProtection="1">
      <alignment horizontal="center" vertical="top"/>
    </xf>
    <xf numFmtId="0" fontId="0" fillId="0" borderId="68" xfId="0" applyFont="1" applyBorder="1" applyAlignment="1" applyProtection="1">
      <alignment horizontal="center" vertical="top"/>
    </xf>
    <xf numFmtId="0" fontId="0" fillId="0" borderId="67" xfId="0" applyFont="1" applyBorder="1" applyAlignment="1" applyProtection="1">
      <alignment horizontal="left" vertical="top"/>
    </xf>
    <xf numFmtId="2" fontId="70" fillId="0" borderId="0" xfId="0" applyNumberFormat="1" applyFont="1" applyBorder="1" applyAlignment="1"/>
    <xf numFmtId="0" fontId="59" fillId="0" borderId="64" xfId="0" applyFont="1" applyBorder="1" applyAlignment="1"/>
    <xf numFmtId="0" fontId="23" fillId="0" borderId="96" xfId="0" applyFont="1" applyFill="1" applyBorder="1" applyAlignment="1" applyProtection="1">
      <alignment vertical="top"/>
    </xf>
    <xf numFmtId="0" fontId="23" fillId="0" borderId="0" xfId="0" applyFont="1" applyFill="1" applyBorder="1" applyAlignment="1" applyProtection="1">
      <alignment vertical="top"/>
    </xf>
    <xf numFmtId="0" fontId="23" fillId="0" borderId="73" xfId="0" applyFont="1" applyFill="1" applyBorder="1" applyAlignment="1" applyProtection="1">
      <alignment vertical="top"/>
    </xf>
    <xf numFmtId="0" fontId="23" fillId="0" borderId="0" xfId="0" applyFont="1" applyFill="1" applyBorder="1" applyAlignment="1" applyProtection="1">
      <alignment vertical="center"/>
    </xf>
    <xf numFmtId="0" fontId="23" fillId="0" borderId="96" xfId="0" applyFont="1" applyFill="1" applyBorder="1" applyAlignment="1" applyProtection="1">
      <alignment vertical="center"/>
    </xf>
    <xf numFmtId="0" fontId="23" fillId="0" borderId="73" xfId="0" applyFont="1" applyFill="1" applyBorder="1" applyAlignment="1" applyProtection="1">
      <alignment vertical="center"/>
    </xf>
    <xf numFmtId="0" fontId="0" fillId="0" borderId="96" xfId="0" applyFont="1" applyBorder="1" applyAlignment="1" applyProtection="1">
      <alignment horizontal="left"/>
    </xf>
    <xf numFmtId="0" fontId="22" fillId="0" borderId="73" xfId="0" applyFont="1" applyBorder="1" applyAlignment="1" applyProtection="1">
      <alignment horizontal="right"/>
      <protection locked="0"/>
    </xf>
    <xf numFmtId="0" fontId="0" fillId="0" borderId="73" xfId="0" applyFont="1" applyBorder="1" applyAlignment="1" applyProtection="1">
      <alignment horizontal="left"/>
      <protection locked="0"/>
    </xf>
    <xf numFmtId="0" fontId="22" fillId="0" borderId="73" xfId="0" applyFont="1" applyBorder="1" applyAlignment="1" applyProtection="1">
      <alignment horizontal="left"/>
      <protection locked="0"/>
    </xf>
    <xf numFmtId="4" fontId="0" fillId="0" borderId="73" xfId="0" applyNumberFormat="1" applyBorder="1" applyAlignment="1" applyProtection="1">
      <alignment horizontal="left"/>
      <protection locked="0"/>
    </xf>
    <xf numFmtId="0" fontId="0" fillId="0" borderId="106" xfId="0" applyFont="1" applyBorder="1" applyAlignment="1" applyProtection="1">
      <alignment horizontal="left"/>
      <protection locked="0"/>
    </xf>
    <xf numFmtId="0" fontId="22" fillId="0" borderId="73" xfId="0" applyFont="1" applyFill="1" applyBorder="1" applyAlignment="1" applyProtection="1">
      <alignment horizontal="center" vertical="center"/>
    </xf>
    <xf numFmtId="0" fontId="23" fillId="0" borderId="73" xfId="0" applyFont="1" applyBorder="1" applyAlignment="1" applyProtection="1">
      <alignment horizontal="center" vertical="center"/>
    </xf>
    <xf numFmtId="0" fontId="23" fillId="0" borderId="104" xfId="0" applyFont="1" applyBorder="1" applyAlignment="1" applyProtection="1">
      <alignment horizontal="center" vertical="center"/>
    </xf>
    <xf numFmtId="0" fontId="58" fillId="0" borderId="73" xfId="0" applyFont="1" applyBorder="1" applyAlignment="1"/>
    <xf numFmtId="0" fontId="30" fillId="0" borderId="73" xfId="0" applyFont="1" applyBorder="1" applyAlignment="1" applyProtection="1">
      <alignment horizontal="left" vertical="center"/>
    </xf>
    <xf numFmtId="0" fontId="22" fillId="0" borderId="129" xfId="0" applyFont="1" applyFill="1" applyBorder="1" applyAlignment="1" applyProtection="1">
      <alignment horizontal="center" vertical="center"/>
    </xf>
    <xf numFmtId="0" fontId="28" fillId="0" borderId="73" xfId="0" applyFont="1" applyBorder="1" applyAlignment="1" applyProtection="1">
      <alignment vertical="center"/>
    </xf>
    <xf numFmtId="2" fontId="73" fillId="0" borderId="106" xfId="0" applyNumberFormat="1" applyFont="1" applyBorder="1" applyAlignment="1">
      <alignment horizontal="left"/>
    </xf>
    <xf numFmtId="0" fontId="70" fillId="0" borderId="73" xfId="0" applyFont="1" applyBorder="1" applyAlignment="1" applyProtection="1">
      <alignment vertical="center"/>
      <protection locked="0"/>
    </xf>
    <xf numFmtId="2" fontId="70" fillId="0" borderId="73" xfId="0" applyNumberFormat="1" applyFont="1" applyBorder="1" applyAlignment="1" applyProtection="1">
      <alignment vertical="center"/>
      <protection locked="0"/>
    </xf>
    <xf numFmtId="176" fontId="70" fillId="0" borderId="73" xfId="0" applyNumberFormat="1" applyFont="1" applyBorder="1" applyAlignment="1" applyProtection="1">
      <alignment vertical="center"/>
    </xf>
    <xf numFmtId="2" fontId="28" fillId="0" borderId="106" xfId="0" applyNumberFormat="1" applyFont="1" applyBorder="1" applyAlignment="1" applyProtection="1">
      <alignment horizontal="left" vertical="center"/>
    </xf>
    <xf numFmtId="0" fontId="22" fillId="0" borderId="119" xfId="0" applyFont="1" applyBorder="1" applyAlignment="1" applyProtection="1">
      <alignment vertical="center"/>
    </xf>
    <xf numFmtId="0" fontId="0" fillId="0" borderId="112" xfId="0" applyFont="1" applyBorder="1" applyAlignment="1" applyProtection="1">
      <alignment horizontal="left" vertical="center"/>
    </xf>
    <xf numFmtId="0" fontId="22" fillId="0" borderId="105" xfId="0" applyFont="1" applyBorder="1" applyAlignment="1" applyProtection="1">
      <alignment horizontal="left" vertical="center"/>
    </xf>
    <xf numFmtId="0" fontId="22" fillId="0" borderId="96" xfId="0" applyFont="1" applyBorder="1"/>
    <xf numFmtId="0" fontId="0" fillId="0" borderId="126" xfId="0" applyFont="1" applyBorder="1" applyAlignment="1" applyProtection="1">
      <alignment horizontal="left" vertical="top" wrapText="1"/>
      <protection locked="0"/>
    </xf>
    <xf numFmtId="0" fontId="0" fillId="0" borderId="96" xfId="0" applyBorder="1" applyProtection="1"/>
    <xf numFmtId="0" fontId="0" fillId="0" borderId="112" xfId="0" applyBorder="1" applyAlignment="1" applyProtection="1">
      <alignment vertical="top"/>
    </xf>
    <xf numFmtId="0" fontId="0" fillId="0" borderId="96" xfId="0" applyBorder="1" applyAlignment="1" applyProtection="1">
      <alignment vertical="top"/>
    </xf>
    <xf numFmtId="0" fontId="0" fillId="0" borderId="73" xfId="0" applyBorder="1" applyAlignment="1" applyProtection="1">
      <alignment vertical="top"/>
    </xf>
    <xf numFmtId="0" fontId="0" fillId="0" borderId="73" xfId="0" applyBorder="1" applyProtection="1"/>
    <xf numFmtId="0" fontId="22" fillId="0" borderId="105" xfId="0" applyFont="1" applyBorder="1" applyAlignment="1" applyProtection="1">
      <alignment horizontal="center" vertical="center"/>
    </xf>
    <xf numFmtId="0" fontId="22" fillId="0" borderId="116" xfId="0" applyFont="1" applyBorder="1" applyAlignment="1" applyProtection="1">
      <alignment horizontal="center" vertical="center"/>
    </xf>
    <xf numFmtId="0" fontId="22" fillId="0" borderId="63" xfId="0" applyFont="1" applyBorder="1" applyAlignment="1">
      <alignment horizontal="center" vertical="center"/>
    </xf>
    <xf numFmtId="0" fontId="22" fillId="0" borderId="78" xfId="0" applyFont="1" applyBorder="1" applyAlignment="1">
      <alignment horizontal="center" vertical="center"/>
    </xf>
    <xf numFmtId="0" fontId="22" fillId="0" borderId="96" xfId="0" applyFont="1" applyBorder="1" applyAlignment="1">
      <alignment horizontal="center" vertical="center"/>
    </xf>
    <xf numFmtId="0" fontId="22" fillId="0" borderId="0" xfId="0" applyFont="1" applyBorder="1" applyAlignment="1">
      <alignment horizontal="center" vertical="center"/>
    </xf>
    <xf numFmtId="0" fontId="22" fillId="0" borderId="97" xfId="0" applyFont="1" applyBorder="1" applyAlignment="1">
      <alignment horizontal="center" vertical="center"/>
    </xf>
    <xf numFmtId="0" fontId="22" fillId="0" borderId="83" xfId="0" applyFont="1" applyBorder="1" applyAlignment="1">
      <alignment horizontal="center" vertical="center"/>
    </xf>
    <xf numFmtId="0" fontId="0" fillId="0" borderId="78" xfId="0" applyFont="1" applyBorder="1" applyAlignment="1">
      <alignment horizontal="center"/>
    </xf>
    <xf numFmtId="0" fontId="0" fillId="0" borderId="0" xfId="0" applyFont="1" applyBorder="1" applyAlignment="1">
      <alignment horizontal="center"/>
    </xf>
    <xf numFmtId="0" fontId="0" fillId="0" borderId="83" xfId="0" applyFont="1" applyBorder="1" applyAlignment="1">
      <alignment horizontal="center"/>
    </xf>
    <xf numFmtId="0" fontId="0" fillId="0" borderId="78" xfId="0" applyFont="1" applyBorder="1" applyAlignment="1">
      <alignment horizontal="center" wrapText="1"/>
    </xf>
    <xf numFmtId="0" fontId="0" fillId="0" borderId="94" xfId="0" applyFont="1" applyBorder="1" applyAlignment="1">
      <alignment horizontal="center"/>
    </xf>
    <xf numFmtId="0" fontId="0" fillId="0" borderId="73" xfId="0" applyFont="1" applyBorder="1" applyAlignment="1">
      <alignment horizontal="center"/>
    </xf>
    <xf numFmtId="0" fontId="0" fillId="0" borderId="98" xfId="0" applyFont="1" applyBorder="1" applyAlignment="1">
      <alignment horizontal="center"/>
    </xf>
    <xf numFmtId="0" fontId="23" fillId="0" borderId="75" xfId="0" applyFont="1" applyBorder="1" applyAlignment="1">
      <alignment horizontal="center"/>
    </xf>
    <xf numFmtId="0" fontId="28" fillId="0" borderId="133" xfId="0" applyFont="1" applyBorder="1" applyAlignment="1">
      <alignment horizontal="center" vertical="top"/>
    </xf>
    <xf numFmtId="0" fontId="28" fillId="0" borderId="134" xfId="0" applyFont="1" applyBorder="1" applyAlignment="1">
      <alignment horizontal="center" vertical="top"/>
    </xf>
    <xf numFmtId="0" fontId="28" fillId="0" borderId="135" xfId="0" applyFont="1" applyBorder="1" applyAlignment="1">
      <alignment horizontal="center" vertical="top"/>
    </xf>
    <xf numFmtId="0" fontId="23" fillId="0" borderId="134" xfId="0" applyFont="1" applyBorder="1" applyAlignment="1">
      <alignment horizontal="center" vertical="top" wrapText="1"/>
    </xf>
    <xf numFmtId="0" fontId="23" fillId="0" borderId="136" xfId="0" applyFont="1" applyBorder="1" applyAlignment="1">
      <alignment horizontal="center" vertical="top" wrapText="1"/>
    </xf>
    <xf numFmtId="0" fontId="28" fillId="0" borderId="137" xfId="0" applyFont="1" applyBorder="1" applyAlignment="1">
      <alignment horizontal="center" vertical="top"/>
    </xf>
    <xf numFmtId="0" fontId="26" fillId="0" borderId="134" xfId="0" applyFont="1" applyBorder="1" applyAlignment="1">
      <alignment horizontal="center" vertical="top"/>
    </xf>
    <xf numFmtId="0" fontId="26" fillId="0" borderId="138" xfId="0" applyFont="1" applyBorder="1" applyAlignment="1">
      <alignment horizontal="center" vertical="top"/>
    </xf>
    <xf numFmtId="0" fontId="22" fillId="29" borderId="131" xfId="0" applyFont="1" applyFill="1" applyBorder="1" applyAlignment="1">
      <alignment horizontal="center" vertical="center"/>
    </xf>
    <xf numFmtId="0" fontId="22" fillId="29" borderId="14" xfId="0" applyFont="1" applyFill="1" applyBorder="1" applyAlignment="1">
      <alignment horizontal="center" vertical="center"/>
    </xf>
    <xf numFmtId="0" fontId="22" fillId="29" borderId="132" xfId="0" applyFont="1" applyFill="1" applyBorder="1" applyAlignment="1">
      <alignment horizontal="center" vertical="center"/>
    </xf>
    <xf numFmtId="0" fontId="28" fillId="0" borderId="109" xfId="0" applyFont="1" applyBorder="1" applyAlignment="1">
      <alignment horizontal="left"/>
    </xf>
    <xf numFmtId="0" fontId="28" fillId="0" borderId="17" xfId="0" applyFont="1" applyBorder="1" applyAlignment="1">
      <alignment horizontal="left"/>
    </xf>
    <xf numFmtId="0" fontId="22" fillId="0" borderId="15" xfId="0" applyFont="1" applyBorder="1" applyAlignment="1">
      <alignment horizontal="left" vertical="center"/>
    </xf>
    <xf numFmtId="0" fontId="23" fillId="0" borderId="15" xfId="0" applyFont="1" applyBorder="1" applyAlignment="1">
      <alignment horizontal="left" vertical="center"/>
    </xf>
    <xf numFmtId="0" fontId="23" fillId="0" borderId="129" xfId="0" applyFont="1" applyBorder="1" applyAlignment="1">
      <alignment horizontal="left" vertical="center"/>
    </xf>
    <xf numFmtId="0" fontId="28" fillId="0" borderId="96" xfId="0" applyFont="1" applyBorder="1" applyAlignment="1">
      <alignment horizontal="left"/>
    </xf>
    <xf numFmtId="0" fontId="28" fillId="0" borderId="19" xfId="0" applyFont="1" applyBorder="1" applyAlignment="1">
      <alignment horizontal="left"/>
    </xf>
    <xf numFmtId="0" fontId="23" fillId="0" borderId="0" xfId="0" applyFont="1" applyAlignment="1" applyProtection="1">
      <alignment horizontal="left" vertical="center"/>
      <protection locked="0"/>
    </xf>
    <xf numFmtId="0" fontId="28" fillId="0" borderId="0" xfId="0" applyFont="1" applyAlignment="1">
      <alignment horizontal="left"/>
    </xf>
    <xf numFmtId="0" fontId="23" fillId="0" borderId="0" xfId="0" quotePrefix="1" applyFont="1" applyAlignment="1" applyProtection="1">
      <alignment horizontal="left" vertical="center"/>
      <protection locked="0"/>
    </xf>
    <xf numFmtId="0" fontId="23" fillId="0" borderId="73" xfId="0" applyFont="1" applyBorder="1" applyAlignment="1" applyProtection="1">
      <alignment horizontal="left" vertical="center"/>
      <protection locked="0"/>
    </xf>
    <xf numFmtId="0" fontId="28" fillId="0" borderId="96" xfId="0" applyFont="1" applyBorder="1" applyAlignment="1">
      <alignment horizontal="left" vertical="center"/>
    </xf>
    <xf numFmtId="0" fontId="28" fillId="0" borderId="0" xfId="0" applyFont="1" applyAlignment="1">
      <alignment horizontal="left" vertical="center"/>
    </xf>
    <xf numFmtId="0" fontId="23" fillId="0" borderId="0" xfId="0" applyFont="1" applyAlignment="1" applyProtection="1">
      <alignment horizontal="left"/>
      <protection locked="0"/>
    </xf>
    <xf numFmtId="4" fontId="28" fillId="0" borderId="0" xfId="0" applyNumberFormat="1" applyFont="1" applyAlignment="1" applyProtection="1">
      <alignment horizontal="left"/>
      <protection locked="0"/>
    </xf>
    <xf numFmtId="0" fontId="23" fillId="0" borderId="20" xfId="0" applyFont="1" applyBorder="1" applyAlignment="1" applyProtection="1">
      <alignment horizontal="left"/>
      <protection locked="0"/>
    </xf>
    <xf numFmtId="0" fontId="28" fillId="0" borderId="96" xfId="0" applyFont="1" applyBorder="1"/>
    <xf numFmtId="0" fontId="28" fillId="0" borderId="0" xfId="0" applyFont="1"/>
    <xf numFmtId="4" fontId="23" fillId="0" borderId="0" xfId="0" applyNumberFormat="1" applyFont="1" applyAlignment="1" applyProtection="1">
      <alignment horizontal="left" vertical="center"/>
      <protection locked="0"/>
    </xf>
    <xf numFmtId="0" fontId="23" fillId="0" borderId="83" xfId="0" applyFont="1" applyBorder="1" applyAlignment="1" applyProtection="1">
      <alignment horizontal="center" vertical="center"/>
      <protection locked="0"/>
    </xf>
    <xf numFmtId="0" fontId="23" fillId="0" borderId="98" xfId="0" applyFont="1" applyBorder="1" applyAlignment="1" applyProtection="1">
      <alignment horizontal="center" vertical="center"/>
      <protection locked="0"/>
    </xf>
    <xf numFmtId="0" fontId="22" fillId="29" borderId="64" xfId="0" applyFont="1" applyFill="1" applyBorder="1" applyAlignment="1">
      <alignment horizontal="center" vertical="center"/>
    </xf>
    <xf numFmtId="0" fontId="28" fillId="0" borderId="73" xfId="0" applyFont="1" applyBorder="1" applyAlignment="1">
      <alignment horizontal="left" vertical="center"/>
    </xf>
    <xf numFmtId="0" fontId="23" fillId="0" borderId="96" xfId="0" applyFont="1" applyBorder="1" applyAlignment="1">
      <alignment horizontal="left"/>
    </xf>
    <xf numFmtId="0" fontId="23" fillId="0" borderId="0" xfId="0" applyFont="1" applyAlignment="1">
      <alignment horizontal="left"/>
    </xf>
    <xf numFmtId="0" fontId="59" fillId="0" borderId="0" xfId="0" applyFont="1" applyAlignment="1">
      <alignment horizontal="left"/>
    </xf>
    <xf numFmtId="0" fontId="58" fillId="0" borderId="0" xfId="0" applyFont="1" applyAlignment="1">
      <alignment horizontal="left"/>
    </xf>
    <xf numFmtId="0" fontId="62" fillId="0" borderId="97" xfId="0" applyFont="1" applyBorder="1" applyAlignment="1">
      <alignment horizontal="center" vertical="center"/>
    </xf>
    <xf numFmtId="0" fontId="62" fillId="0" borderId="98" xfId="0" applyFont="1" applyBorder="1" applyAlignment="1">
      <alignment horizontal="center" vertical="center"/>
    </xf>
    <xf numFmtId="0" fontId="58" fillId="0" borderId="101" xfId="0" applyFont="1" applyBorder="1" applyAlignment="1">
      <alignment horizontal="left"/>
    </xf>
    <xf numFmtId="0" fontId="0" fillId="0" borderId="101" xfId="0" applyFont="1" applyBorder="1" applyAlignment="1">
      <alignment horizontal="center" vertical="center"/>
    </xf>
    <xf numFmtId="1" fontId="28" fillId="0" borderId="101" xfId="0" applyNumberFormat="1" applyFont="1" applyBorder="1" applyAlignment="1">
      <alignment horizontal="left" vertical="center"/>
    </xf>
    <xf numFmtId="1" fontId="28" fillId="0" borderId="104" xfId="0" applyNumberFormat="1" applyFont="1" applyBorder="1" applyAlignment="1">
      <alignment horizontal="left" vertical="center"/>
    </xf>
    <xf numFmtId="0" fontId="59" fillId="0" borderId="0" xfId="0" applyFont="1" applyAlignment="1">
      <alignment horizontal="center"/>
    </xf>
    <xf numFmtId="0" fontId="59" fillId="0" borderId="73" xfId="0" applyFont="1" applyBorder="1" applyAlignment="1">
      <alignment horizontal="center"/>
    </xf>
    <xf numFmtId="1" fontId="28" fillId="0" borderId="0" xfId="0" applyNumberFormat="1" applyFont="1" applyAlignment="1">
      <alignment horizontal="left" vertical="center"/>
    </xf>
    <xf numFmtId="1" fontId="28" fillId="0" borderId="73" xfId="0" applyNumberFormat="1" applyFont="1" applyBorder="1" applyAlignment="1">
      <alignment horizontal="left" vertical="center"/>
    </xf>
    <xf numFmtId="174" fontId="28" fillId="0" borderId="96" xfId="0" applyNumberFormat="1" applyFont="1" applyBorder="1" applyAlignment="1">
      <alignment horizontal="left" vertical="center"/>
    </xf>
    <xf numFmtId="174" fontId="28" fillId="0" borderId="0" xfId="0" applyNumberFormat="1" applyFont="1" applyAlignment="1">
      <alignment horizontal="left" vertical="center"/>
    </xf>
    <xf numFmtId="0" fontId="22" fillId="29" borderId="67" xfId="0" applyFont="1" applyFill="1" applyBorder="1" applyAlignment="1">
      <alignment horizontal="center" vertical="center"/>
    </xf>
    <xf numFmtId="0" fontId="22" fillId="29" borderId="75" xfId="0" applyFont="1" applyFill="1" applyBorder="1" applyAlignment="1">
      <alignment horizontal="center" vertical="center"/>
    </xf>
    <xf numFmtId="0" fontId="22" fillId="29" borderId="68" xfId="0" applyFont="1" applyFill="1" applyBorder="1" applyAlignment="1">
      <alignment horizontal="center" vertical="center"/>
    </xf>
    <xf numFmtId="0" fontId="0" fillId="0" borderId="96" xfId="0" applyFont="1" applyBorder="1" applyAlignment="1">
      <alignment horizontal="left" vertical="center"/>
    </xf>
    <xf numFmtId="0" fontId="0" fillId="0" borderId="0" xfId="0" applyFont="1" applyAlignment="1">
      <alignment horizontal="left" vertical="center"/>
    </xf>
    <xf numFmtId="0" fontId="28" fillId="0" borderId="96"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59" fillId="0" borderId="0" xfId="0" applyFont="1" applyAlignment="1">
      <alignment horizontal="left" vertical="center"/>
    </xf>
    <xf numFmtId="0" fontId="59" fillId="0" borderId="73" xfId="0" applyFont="1" applyBorder="1" applyAlignment="1">
      <alignment horizontal="left" vertical="center"/>
    </xf>
    <xf numFmtId="0" fontId="28" fillId="0" borderId="110" xfId="0" applyFont="1" applyBorder="1" applyAlignment="1">
      <alignment horizontal="left" vertical="center"/>
    </xf>
    <xf numFmtId="0" fontId="28" fillId="0" borderId="12" xfId="0" applyFont="1" applyBorder="1" applyAlignment="1">
      <alignment horizontal="left" vertical="center"/>
    </xf>
    <xf numFmtId="3" fontId="23" fillId="0" borderId="12" xfId="0" applyNumberFormat="1" applyFont="1" applyBorder="1" applyAlignment="1">
      <alignment horizontal="left" vertical="center"/>
    </xf>
    <xf numFmtId="0" fontId="23" fillId="0" borderId="12" xfId="0" applyFont="1" applyBorder="1" applyAlignment="1">
      <alignment horizontal="left" vertical="center"/>
    </xf>
    <xf numFmtId="0" fontId="22" fillId="29" borderId="125" xfId="0" applyFont="1" applyFill="1" applyBorder="1" applyAlignment="1">
      <alignment horizontal="center" vertical="center"/>
    </xf>
    <xf numFmtId="0" fontId="22" fillId="29" borderId="38" xfId="0" applyFont="1" applyFill="1" applyBorder="1" applyAlignment="1">
      <alignment horizontal="center" vertical="center"/>
    </xf>
    <xf numFmtId="0" fontId="22" fillId="29" borderId="126" xfId="0" applyFont="1" applyFill="1" applyBorder="1" applyAlignment="1">
      <alignment horizontal="center" vertical="center"/>
    </xf>
    <xf numFmtId="0" fontId="28" fillId="0" borderId="109" xfId="0" applyFont="1" applyBorder="1" applyAlignment="1">
      <alignment horizontal="left" vertical="center"/>
    </xf>
    <xf numFmtId="0" fontId="28" fillId="0" borderId="15" xfId="0" applyFont="1" applyBorder="1" applyAlignment="1">
      <alignment horizontal="left" vertical="center"/>
    </xf>
    <xf numFmtId="3" fontId="23" fillId="0" borderId="12" xfId="0" applyNumberFormat="1" applyFont="1" applyBorder="1" applyAlignment="1" applyProtection="1">
      <alignment horizontal="left" vertical="center"/>
      <protection locked="0"/>
    </xf>
    <xf numFmtId="3" fontId="23" fillId="0" borderId="106" xfId="0" applyNumberFormat="1" applyFont="1" applyBorder="1" applyAlignment="1" applyProtection="1">
      <alignment horizontal="left" vertical="center"/>
      <protection locked="0"/>
    </xf>
    <xf numFmtId="0" fontId="32" fillId="0" borderId="96" xfId="0" applyFont="1" applyBorder="1" applyAlignment="1">
      <alignment horizontal="left" vertical="center"/>
    </xf>
    <xf numFmtId="0" fontId="32" fillId="0" borderId="0" xfId="0" applyFont="1" applyAlignment="1">
      <alignment horizontal="left" vertical="center"/>
    </xf>
    <xf numFmtId="12" fontId="41" fillId="0" borderId="0" xfId="0" applyNumberFormat="1" applyFont="1" applyAlignment="1">
      <alignment horizontal="left" vertical="center"/>
    </xf>
    <xf numFmtId="0" fontId="41" fillId="0" borderId="0" xfId="0" applyFont="1" applyAlignment="1">
      <alignment horizontal="left" vertical="center"/>
    </xf>
    <xf numFmtId="0" fontId="41" fillId="0" borderId="73" xfId="0" applyFont="1" applyBorder="1" applyAlignment="1">
      <alignment horizontal="left" vertical="center"/>
    </xf>
    <xf numFmtId="1" fontId="41" fillId="0" borderId="0" xfId="0" applyNumberFormat="1" applyFont="1" applyAlignment="1">
      <alignment horizontal="left" vertical="center"/>
    </xf>
    <xf numFmtId="2" fontId="41" fillId="0" borderId="0" xfId="0" applyNumberFormat="1" applyFont="1" applyAlignment="1">
      <alignment horizontal="left" vertical="center"/>
    </xf>
    <xf numFmtId="2" fontId="41" fillId="0" borderId="73" xfId="0" applyNumberFormat="1" applyFont="1" applyBorder="1" applyAlignment="1">
      <alignment horizontal="left" vertical="center"/>
    </xf>
    <xf numFmtId="0" fontId="32" fillId="0" borderId="110" xfId="0" applyFont="1" applyBorder="1" applyAlignment="1">
      <alignment horizontal="left" vertical="center"/>
    </xf>
    <xf numFmtId="0" fontId="32" fillId="0" borderId="12" xfId="0" applyFont="1" applyBorder="1" applyAlignment="1">
      <alignment horizontal="left" vertical="center"/>
    </xf>
    <xf numFmtId="0" fontId="41" fillId="0" borderId="12" xfId="0" applyFont="1" applyBorder="1" applyAlignment="1">
      <alignment horizontal="left" vertical="center"/>
    </xf>
    <xf numFmtId="2" fontId="41" fillId="0" borderId="12" xfId="0" applyNumberFormat="1" applyFont="1" applyBorder="1" applyAlignment="1">
      <alignment horizontal="center" vertical="center"/>
    </xf>
    <xf numFmtId="0" fontId="23" fillId="0" borderId="127" xfId="0" applyFont="1" applyBorder="1" applyAlignment="1">
      <alignment horizontal="left" vertical="center"/>
    </xf>
    <xf numFmtId="0" fontId="23" fillId="0" borderId="128" xfId="0" applyFont="1" applyBorder="1" applyAlignment="1">
      <alignment horizontal="left" vertical="center"/>
    </xf>
    <xf numFmtId="0" fontId="23" fillId="0" borderId="130" xfId="0" applyFont="1" applyBorder="1" applyAlignment="1">
      <alignment horizontal="left" vertical="center"/>
    </xf>
    <xf numFmtId="0" fontId="23" fillId="0" borderId="62" xfId="0" applyFont="1" applyBorder="1" applyAlignment="1">
      <alignment horizontal="left" vertical="center"/>
    </xf>
    <xf numFmtId="0" fontId="23" fillId="0" borderId="124" xfId="0" applyFont="1" applyBorder="1" applyAlignment="1">
      <alignment horizontal="left" vertical="center"/>
    </xf>
    <xf numFmtId="12" fontId="41" fillId="0" borderId="0" xfId="0" applyNumberFormat="1" applyFont="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73" xfId="0" applyFont="1" applyBorder="1" applyAlignment="1" applyProtection="1">
      <alignment horizontal="left" vertical="center"/>
      <protection locked="0"/>
    </xf>
    <xf numFmtId="2" fontId="41" fillId="0" borderId="0" xfId="0" applyNumberFormat="1" applyFont="1" applyAlignment="1" applyProtection="1">
      <alignment horizontal="left" vertical="center"/>
      <protection locked="0"/>
    </xf>
    <xf numFmtId="2" fontId="41" fillId="0" borderId="73" xfId="0" applyNumberFormat="1" applyFont="1" applyBorder="1" applyAlignment="1" applyProtection="1">
      <alignment horizontal="left" vertical="center"/>
      <protection locked="0"/>
    </xf>
    <xf numFmtId="176" fontId="41" fillId="0" borderId="0" xfId="0" applyNumberFormat="1" applyFont="1" applyAlignment="1">
      <alignment horizontal="left" vertical="center"/>
    </xf>
    <xf numFmtId="176" fontId="41" fillId="0" borderId="73" xfId="0" applyNumberFormat="1" applyFont="1" applyBorder="1" applyAlignment="1">
      <alignment horizontal="left" vertical="center"/>
    </xf>
    <xf numFmtId="0" fontId="23" fillId="0" borderId="121" xfId="0" applyFont="1" applyBorder="1" applyAlignment="1">
      <alignment horizontal="left" vertical="center"/>
    </xf>
    <xf numFmtId="0" fontId="23" fillId="0" borderId="103" xfId="0" applyFont="1" applyBorder="1" applyAlignment="1">
      <alignment horizontal="left" vertical="center"/>
    </xf>
    <xf numFmtId="0" fontId="23" fillId="0" borderId="122" xfId="0" applyFont="1" applyBorder="1" applyAlignment="1">
      <alignment horizontal="left" vertical="center"/>
    </xf>
    <xf numFmtId="0" fontId="23" fillId="0" borderId="123" xfId="0" applyFont="1" applyBorder="1" applyAlignment="1">
      <alignment horizontal="left" vertical="center"/>
    </xf>
    <xf numFmtId="0" fontId="23" fillId="0" borderId="61" xfId="0" applyFont="1" applyBorder="1" applyAlignment="1">
      <alignment horizontal="left" vertical="center"/>
    </xf>
    <xf numFmtId="0" fontId="32" fillId="0" borderId="119" xfId="0" applyFont="1" applyBorder="1" applyAlignment="1">
      <alignment horizontal="left"/>
    </xf>
    <xf numFmtId="0" fontId="32" fillId="0" borderId="24" xfId="0" applyFont="1" applyBorder="1" applyAlignment="1">
      <alignment horizontal="left"/>
    </xf>
    <xf numFmtId="0" fontId="32" fillId="0" borderId="0" xfId="0" applyFont="1" applyAlignment="1">
      <alignment horizontal="left"/>
    </xf>
    <xf numFmtId="12" fontId="32" fillId="0" borderId="0" xfId="0" applyNumberFormat="1" applyFont="1" applyAlignment="1">
      <alignment horizontal="left" vertical="center"/>
    </xf>
    <xf numFmtId="0" fontId="32" fillId="0" borderId="27" xfId="0" applyFont="1" applyBorder="1" applyAlignment="1">
      <alignment horizontal="left"/>
    </xf>
    <xf numFmtId="0" fontId="32" fillId="0" borderId="96" xfId="0" applyFont="1" applyBorder="1" applyAlignment="1">
      <alignment horizontal="left"/>
    </xf>
    <xf numFmtId="0" fontId="41" fillId="0" borderId="0" xfId="0" applyFont="1" applyAlignment="1" applyProtection="1">
      <alignment horizontal="left"/>
      <protection locked="0"/>
    </xf>
    <xf numFmtId="0" fontId="41" fillId="0" borderId="16" xfId="0" applyFont="1" applyBorder="1" applyAlignment="1" applyProtection="1">
      <alignment horizontal="left"/>
      <protection locked="0"/>
    </xf>
    <xf numFmtId="0" fontId="41" fillId="0" borderId="73" xfId="0" applyFont="1" applyBorder="1" applyAlignment="1" applyProtection="1">
      <alignment horizontal="left"/>
      <protection locked="0"/>
    </xf>
    <xf numFmtId="2" fontId="41" fillId="0" borderId="0" xfId="0" applyNumberFormat="1" applyFont="1" applyAlignment="1">
      <alignment horizontal="left"/>
    </xf>
    <xf numFmtId="2" fontId="41" fillId="0" borderId="16" xfId="0" applyNumberFormat="1" applyFont="1" applyBorder="1" applyAlignment="1">
      <alignment horizontal="left"/>
    </xf>
    <xf numFmtId="2" fontId="41" fillId="0" borderId="0" xfId="0" applyNumberFormat="1" applyFont="1" applyAlignment="1" applyProtection="1">
      <alignment horizontal="left"/>
      <protection locked="0"/>
    </xf>
    <xf numFmtId="2" fontId="41" fillId="0" borderId="73" xfId="0" applyNumberFormat="1" applyFont="1" applyBorder="1" applyAlignment="1" applyProtection="1">
      <alignment horizontal="left"/>
      <protection locked="0"/>
    </xf>
    <xf numFmtId="177" fontId="41" fillId="0" borderId="0" xfId="0" applyNumberFormat="1" applyFont="1" applyAlignment="1" applyProtection="1">
      <alignment horizontal="left"/>
      <protection locked="0"/>
    </xf>
    <xf numFmtId="177" fontId="41" fillId="0" borderId="16" xfId="0" applyNumberFormat="1" applyFont="1" applyBorder="1" applyAlignment="1" applyProtection="1">
      <alignment horizontal="left"/>
      <protection locked="0"/>
    </xf>
    <xf numFmtId="177" fontId="41" fillId="0" borderId="73" xfId="0" applyNumberFormat="1" applyFont="1" applyBorder="1" applyAlignment="1" applyProtection="1">
      <alignment horizontal="left"/>
      <protection locked="0"/>
    </xf>
    <xf numFmtId="2" fontId="41" fillId="0" borderId="73" xfId="0" applyNumberFormat="1" applyFont="1" applyBorder="1" applyAlignment="1">
      <alignment horizontal="left"/>
    </xf>
    <xf numFmtId="0" fontId="32" fillId="0" borderId="105" xfId="0" applyFont="1" applyBorder="1" applyAlignment="1">
      <alignment horizontal="left"/>
    </xf>
    <xf numFmtId="0" fontId="32" fillId="0" borderId="23" xfId="0" applyFont="1" applyBorder="1" applyAlignment="1">
      <alignment horizontal="left"/>
    </xf>
    <xf numFmtId="0" fontId="32" fillId="0" borderId="29" xfId="0" applyFont="1" applyBorder="1" applyAlignment="1">
      <alignment horizontal="left"/>
    </xf>
    <xf numFmtId="0" fontId="32" fillId="0" borderId="30" xfId="0" applyFont="1" applyBorder="1" applyAlignment="1">
      <alignment horizontal="left"/>
    </xf>
    <xf numFmtId="0" fontId="32" fillId="0" borderId="116" xfId="0" applyFont="1" applyBorder="1" applyAlignment="1">
      <alignment horizontal="left"/>
    </xf>
    <xf numFmtId="0" fontId="23" fillId="0" borderId="117" xfId="0" applyFont="1" applyBorder="1" applyAlignment="1">
      <alignment horizontal="left" vertical="center"/>
    </xf>
    <xf numFmtId="0" fontId="23" fillId="0" borderId="48" xfId="0" applyFont="1" applyBorder="1" applyAlignment="1">
      <alignment horizontal="left" vertical="center"/>
    </xf>
    <xf numFmtId="0" fontId="23" fillId="0" borderId="35" xfId="0" applyFont="1" applyBorder="1" applyAlignment="1">
      <alignment horizontal="left" vertical="center"/>
    </xf>
    <xf numFmtId="0" fontId="23" fillId="0" borderId="34" xfId="0" applyFont="1" applyBorder="1" applyAlignment="1">
      <alignment horizontal="left" vertical="center"/>
    </xf>
    <xf numFmtId="0" fontId="23" fillId="0" borderId="118" xfId="0" applyFont="1" applyBorder="1" applyAlignment="1">
      <alignment horizontal="left" vertical="center"/>
    </xf>
    <xf numFmtId="0" fontId="32" fillId="0" borderId="120" xfId="0" applyFont="1" applyBorder="1" applyAlignment="1">
      <alignment horizontal="left"/>
    </xf>
    <xf numFmtId="0" fontId="32" fillId="0" borderId="24" xfId="0" applyFont="1" applyBorder="1" applyAlignment="1" applyProtection="1">
      <alignment horizontal="left"/>
      <protection locked="0"/>
    </xf>
    <xf numFmtId="0" fontId="32" fillId="0" borderId="112" xfId="0" applyFont="1" applyBorder="1" applyAlignment="1" applyProtection="1">
      <alignment horizontal="left"/>
      <protection locked="0"/>
    </xf>
    <xf numFmtId="0" fontId="32" fillId="0" borderId="0" xfId="0" applyFont="1" applyAlignment="1" applyProtection="1">
      <alignment horizontal="left"/>
      <protection locked="0"/>
    </xf>
    <xf numFmtId="0" fontId="32" fillId="0" borderId="73" xfId="0" applyFont="1" applyBorder="1" applyAlignment="1" applyProtection="1">
      <alignment horizontal="left"/>
      <protection locked="0"/>
    </xf>
    <xf numFmtId="2" fontId="41" fillId="0" borderId="16" xfId="0" applyNumberFormat="1" applyFont="1" applyBorder="1" applyAlignment="1" applyProtection="1">
      <alignment horizontal="left"/>
      <protection locked="0"/>
    </xf>
    <xf numFmtId="2" fontId="32" fillId="0" borderId="0" xfId="0" applyNumberFormat="1" applyFont="1" applyAlignment="1" applyProtection="1">
      <alignment horizontal="left"/>
      <protection locked="0"/>
    </xf>
    <xf numFmtId="2" fontId="32" fillId="0" borderId="73" xfId="0" applyNumberFormat="1" applyFont="1" applyBorder="1" applyAlignment="1" applyProtection="1">
      <alignment horizontal="left"/>
      <protection locked="0"/>
    </xf>
    <xf numFmtId="178" fontId="41" fillId="0" borderId="0" xfId="0" applyNumberFormat="1" applyFont="1" applyAlignment="1" applyProtection="1">
      <alignment horizontal="left"/>
      <protection locked="0"/>
    </xf>
    <xf numFmtId="178" fontId="41" fillId="0" borderId="16" xfId="0" applyNumberFormat="1" applyFont="1" applyBorder="1" applyAlignment="1" applyProtection="1">
      <alignment horizontal="left"/>
      <protection locked="0"/>
    </xf>
    <xf numFmtId="178" fontId="32" fillId="0" borderId="0" xfId="0" applyNumberFormat="1" applyFont="1" applyAlignment="1" applyProtection="1">
      <alignment horizontal="left"/>
      <protection locked="0"/>
    </xf>
    <xf numFmtId="178" fontId="32" fillId="0" borderId="73" xfId="0" applyNumberFormat="1" applyFont="1" applyBorder="1" applyAlignment="1" applyProtection="1">
      <alignment horizontal="left"/>
      <protection locked="0"/>
    </xf>
    <xf numFmtId="2" fontId="41" fillId="0" borderId="50" xfId="0" applyNumberFormat="1" applyFont="1" applyBorder="1" applyAlignment="1">
      <alignment horizontal="left"/>
    </xf>
    <xf numFmtId="2" fontId="32" fillId="0" borderId="0" xfId="0" applyNumberFormat="1" applyFont="1" applyAlignment="1">
      <alignment horizontal="left"/>
    </xf>
    <xf numFmtId="2" fontId="32" fillId="0" borderId="73" xfId="0" applyNumberFormat="1" applyFont="1" applyBorder="1" applyAlignment="1">
      <alignment horizontal="left"/>
    </xf>
    <xf numFmtId="0" fontId="33" fillId="0" borderId="111" xfId="0" applyFont="1" applyBorder="1" applyAlignment="1">
      <alignment horizontal="justify" vertical="top" wrapText="1"/>
    </xf>
    <xf numFmtId="0" fontId="23" fillId="0" borderId="24" xfId="0" applyFont="1" applyBorder="1" applyAlignment="1">
      <alignment horizontal="justify" vertical="top" wrapText="1"/>
    </xf>
    <xf numFmtId="0" fontId="23" fillId="0" borderId="112" xfId="0" applyFont="1" applyBorder="1" applyAlignment="1">
      <alignment horizontal="justify" vertical="top" wrapText="1"/>
    </xf>
    <xf numFmtId="0" fontId="23" fillId="0" borderId="102" xfId="0" applyFont="1" applyBorder="1" applyAlignment="1">
      <alignment horizontal="justify" vertical="top" wrapText="1"/>
    </xf>
    <xf numFmtId="0" fontId="23" fillId="0" borderId="101" xfId="0" applyFont="1" applyBorder="1" applyAlignment="1">
      <alignment horizontal="justify" vertical="top" wrapText="1"/>
    </xf>
    <xf numFmtId="0" fontId="23" fillId="0" borderId="104" xfId="0" applyFont="1" applyBorder="1" applyAlignment="1">
      <alignment horizontal="justify" vertical="top" wrapText="1"/>
    </xf>
    <xf numFmtId="0" fontId="28" fillId="0" borderId="113" xfId="0" applyFont="1" applyBorder="1" applyAlignment="1">
      <alignment horizontal="center" vertical="center"/>
    </xf>
    <xf numFmtId="0" fontId="28" fillId="0" borderId="114" xfId="0" applyFont="1" applyBorder="1" applyAlignment="1">
      <alignment horizontal="center" vertical="center"/>
    </xf>
    <xf numFmtId="2" fontId="23" fillId="0" borderId="114" xfId="0" applyNumberFormat="1" applyFont="1" applyBorder="1" applyAlignment="1">
      <alignment horizontal="center"/>
    </xf>
    <xf numFmtId="2" fontId="23" fillId="0" borderId="115" xfId="0" applyNumberFormat="1" applyFont="1" applyBorder="1" applyAlignment="1">
      <alignment horizontal="center"/>
    </xf>
    <xf numFmtId="0" fontId="51" fillId="0" borderId="103" xfId="0" applyFont="1" applyBorder="1" applyAlignment="1" applyProtection="1">
      <alignment horizontal="center"/>
    </xf>
    <xf numFmtId="0" fontId="51" fillId="0" borderId="103" xfId="0" applyFont="1" applyBorder="1" applyAlignment="1" applyProtection="1">
      <alignment horizontal="left"/>
    </xf>
    <xf numFmtId="0" fontId="51" fillId="0" borderId="0" xfId="0" applyFont="1" applyBorder="1" applyAlignment="1" applyProtection="1"/>
    <xf numFmtId="0" fontId="51" fillId="0" borderId="19" xfId="0" applyFont="1" applyBorder="1" applyAlignment="1" applyProtection="1"/>
    <xf numFmtId="0" fontId="51" fillId="0" borderId="0" xfId="0" applyFont="1" applyBorder="1" applyAlignment="1" applyProtection="1">
      <alignment horizontal="center"/>
    </xf>
    <xf numFmtId="0" fontId="51" fillId="0" borderId="0" xfId="0" applyFont="1" applyBorder="1" applyAlignment="1" applyProtection="1">
      <alignment horizontal="left"/>
    </xf>
    <xf numFmtId="0" fontId="26" fillId="0" borderId="142" xfId="0" applyFont="1" applyBorder="1" applyAlignment="1" applyProtection="1">
      <alignment horizontal="justify" vertical="top" wrapText="1"/>
    </xf>
    <xf numFmtId="0" fontId="0" fillId="0" borderId="23" xfId="0" applyBorder="1" applyAlignment="1" applyProtection="1"/>
    <xf numFmtId="0" fontId="28" fillId="0" borderId="143" xfId="0" applyFont="1" applyBorder="1" applyAlignment="1" applyProtection="1">
      <alignment vertical="top"/>
    </xf>
    <xf numFmtId="0" fontId="28" fillId="0" borderId="120" xfId="0" applyFont="1" applyBorder="1" applyAlignment="1" applyProtection="1">
      <alignment vertical="top"/>
    </xf>
    <xf numFmtId="174" fontId="22" fillId="0" borderId="23" xfId="0" applyNumberFormat="1" applyFont="1" applyBorder="1" applyAlignment="1" applyProtection="1">
      <alignment horizontal="center"/>
      <protection locked="0"/>
    </xf>
    <xf numFmtId="174" fontId="22" fillId="0" borderId="31" xfId="0" applyNumberFormat="1" applyFont="1" applyBorder="1" applyAlignment="1" applyProtection="1">
      <alignment horizontal="center"/>
      <protection locked="0"/>
    </xf>
    <xf numFmtId="0" fontId="0" fillId="0" borderId="96" xfId="0" applyBorder="1" applyAlignment="1" applyProtection="1">
      <alignment horizontal="justify" vertical="top" wrapText="1"/>
    </xf>
    <xf numFmtId="0" fontId="22" fillId="0" borderId="0" xfId="0" applyFont="1" applyBorder="1" applyAlignment="1" applyProtection="1">
      <alignment horizontal="justify" vertical="top" wrapText="1"/>
    </xf>
    <xf numFmtId="0" fontId="22" fillId="0" borderId="73" xfId="0" applyFont="1" applyBorder="1" applyAlignment="1" applyProtection="1">
      <alignment horizontal="justify" vertical="top" wrapText="1"/>
    </xf>
    <xf numFmtId="0" fontId="22" fillId="0" borderId="109" xfId="0" applyFont="1" applyBorder="1" applyAlignment="1" applyProtection="1">
      <alignment horizontal="justify" vertical="top" wrapText="1"/>
    </xf>
    <xf numFmtId="0" fontId="22" fillId="0" borderId="15" xfId="0" applyFont="1" applyBorder="1" applyAlignment="1" applyProtection="1">
      <alignment horizontal="justify" vertical="top" wrapText="1"/>
    </xf>
    <xf numFmtId="0" fontId="22" fillId="0" borderId="129" xfId="0" applyFont="1" applyBorder="1" applyAlignment="1" applyProtection="1">
      <alignment horizontal="justify" vertical="top" wrapText="1"/>
    </xf>
    <xf numFmtId="0" fontId="0" fillId="0" borderId="0" xfId="0" applyFont="1" applyBorder="1" applyAlignment="1" applyProtection="1"/>
    <xf numFmtId="0" fontId="22" fillId="0" borderId="37" xfId="0" applyFont="1" applyBorder="1" applyAlignment="1" applyProtection="1">
      <alignment horizontal="center" vertical="center"/>
    </xf>
    <xf numFmtId="0" fontId="22" fillId="0" borderId="38" xfId="0" applyFont="1" applyBorder="1" applyAlignment="1" applyProtection="1">
      <alignment horizontal="center" vertical="center"/>
    </xf>
    <xf numFmtId="0" fontId="22" fillId="0" borderId="22" xfId="0" applyFont="1" applyBorder="1" applyAlignment="1" applyProtection="1">
      <alignment horizontal="center" vertical="center"/>
    </xf>
    <xf numFmtId="0" fontId="51" fillId="0" borderId="63" xfId="0" applyFont="1" applyBorder="1" applyAlignment="1" applyProtection="1">
      <alignment horizontal="left"/>
    </xf>
    <xf numFmtId="0" fontId="51" fillId="0" borderId="78" xfId="0" applyFont="1" applyBorder="1" applyAlignment="1" applyProtection="1">
      <alignment horizontal="left"/>
    </xf>
    <xf numFmtId="0" fontId="0" fillId="0" borderId="21" xfId="0" applyBorder="1" applyAlignment="1" applyProtection="1">
      <alignment horizontal="left" vertical="center"/>
    </xf>
    <xf numFmtId="0" fontId="0" fillId="0" borderId="21" xfId="0" applyFont="1" applyBorder="1" applyAlignment="1" applyProtection="1">
      <alignment horizontal="left" vertical="center"/>
    </xf>
    <xf numFmtId="0" fontId="22" fillId="0" borderId="108" xfId="0" applyFont="1" applyBorder="1" applyAlignment="1" applyProtection="1">
      <alignment horizontal="left" vertical="center"/>
      <protection locked="0"/>
    </xf>
    <xf numFmtId="0" fontId="32" fillId="0" borderId="37" xfId="0" applyFont="1" applyBorder="1" applyAlignment="1" applyProtection="1">
      <alignment horizontal="left" vertical="center"/>
    </xf>
    <xf numFmtId="0" fontId="22" fillId="0" borderId="22" xfId="0" applyFont="1" applyBorder="1" applyAlignment="1" applyProtection="1">
      <alignment horizontal="left" vertical="center"/>
      <protection locked="0"/>
    </xf>
    <xf numFmtId="0" fontId="0" fillId="0" borderId="37" xfId="0" applyFont="1" applyBorder="1" applyAlignment="1" applyProtection="1">
      <alignment horizontal="left" vertical="center"/>
    </xf>
    <xf numFmtId="0" fontId="0" fillId="0" borderId="17" xfId="0" applyFont="1" applyBorder="1" applyAlignment="1" applyProtection="1">
      <alignment horizontal="left" vertical="center"/>
    </xf>
    <xf numFmtId="0" fontId="22" fillId="0" borderId="18" xfId="0" applyFont="1" applyBorder="1" applyAlignment="1" applyProtection="1">
      <alignment horizontal="left" vertical="center"/>
      <protection locked="0"/>
    </xf>
    <xf numFmtId="0" fontId="0" fillId="0" borderId="19" xfId="0" applyFont="1" applyBorder="1" applyAlignment="1" applyProtection="1">
      <alignment horizontal="right" vertical="center"/>
    </xf>
    <xf numFmtId="0" fontId="0" fillId="0" borderId="0" xfId="0" applyFont="1" applyBorder="1" applyAlignment="1" applyProtection="1">
      <alignment horizontal="left" vertical="center"/>
    </xf>
    <xf numFmtId="0" fontId="22" fillId="0" borderId="20" xfId="0" applyFont="1" applyBorder="1" applyAlignment="1" applyProtection="1">
      <alignment horizontal="left" vertical="center"/>
      <protection locked="0"/>
    </xf>
    <xf numFmtId="0" fontId="0" fillId="0" borderId="21" xfId="0" applyFont="1" applyBorder="1" applyAlignment="1" applyProtection="1">
      <alignment horizontal="right" vertical="center"/>
    </xf>
    <xf numFmtId="0" fontId="0" fillId="0" borderId="12" xfId="0" applyFont="1" applyBorder="1" applyAlignment="1" applyProtection="1">
      <alignment horizontal="left" vertical="center"/>
    </xf>
    <xf numFmtId="1" fontId="22" fillId="0" borderId="108" xfId="0" applyNumberFormat="1" applyFont="1" applyBorder="1" applyAlignment="1" applyProtection="1">
      <alignment horizontal="left" vertical="center"/>
      <protection locked="0"/>
    </xf>
    <xf numFmtId="0" fontId="0" fillId="0" borderId="37" xfId="0" applyFont="1" applyBorder="1" applyAlignment="1" applyProtection="1">
      <alignment horizontal="left" vertical="top" wrapText="1"/>
      <protection locked="0"/>
    </xf>
    <xf numFmtId="0" fontId="22" fillId="0" borderId="38" xfId="0" applyFont="1" applyBorder="1" applyAlignment="1" applyProtection="1">
      <alignment horizontal="left" vertical="top" wrapText="1"/>
      <protection locked="0"/>
    </xf>
    <xf numFmtId="172" fontId="46" fillId="0" borderId="14" xfId="62" applyBorder="1" applyAlignment="1">
      <alignment horizontal="center"/>
    </xf>
    <xf numFmtId="0" fontId="0" fillId="0" borderId="14" xfId="0" applyBorder="1" applyAlignment="1">
      <alignment horizontal="center"/>
    </xf>
    <xf numFmtId="2" fontId="22" fillId="0" borderId="14" xfId="0" applyNumberFormat="1" applyFont="1" applyBorder="1"/>
    <xf numFmtId="172" fontId="46" fillId="0" borderId="37" xfId="62" applyBorder="1" applyAlignment="1">
      <alignment horizontal="center"/>
    </xf>
    <xf numFmtId="172" fontId="46" fillId="0" borderId="22" xfId="62" applyBorder="1" applyAlignment="1">
      <alignment horizontal="center"/>
    </xf>
    <xf numFmtId="0" fontId="0" fillId="0" borderId="139" xfId="0" applyFont="1" applyBorder="1" applyAlignment="1" applyProtection="1">
      <alignment horizontal="left" vertical="top"/>
    </xf>
    <xf numFmtId="0" fontId="22" fillId="0" borderId="140" xfId="0" applyFont="1" applyBorder="1" applyAlignment="1" applyProtection="1">
      <alignment horizontal="center" vertical="center"/>
    </xf>
    <xf numFmtId="0" fontId="0" fillId="0" borderId="141" xfId="0" applyFont="1" applyBorder="1" applyAlignment="1" applyProtection="1">
      <alignment horizontal="center" vertical="top"/>
    </xf>
    <xf numFmtId="172" fontId="46" fillId="0" borderId="14" xfId="62" applyBorder="1"/>
    <xf numFmtId="0" fontId="32" fillId="0" borderId="0" xfId="0" applyFont="1" applyBorder="1" applyAlignment="1">
      <alignment horizontal="left" vertical="center"/>
    </xf>
    <xf numFmtId="0" fontId="22" fillId="0" borderId="14" xfId="0" applyFont="1" applyBorder="1" applyAlignment="1">
      <alignment horizontal="center"/>
    </xf>
    <xf numFmtId="0" fontId="32" fillId="0" borderId="73" xfId="0" applyFont="1" applyBorder="1" applyAlignment="1">
      <alignment horizontal="left" vertical="center"/>
    </xf>
    <xf numFmtId="0" fontId="22" fillId="0" borderId="37" xfId="0" applyFont="1" applyBorder="1" applyAlignment="1">
      <alignment horizontal="center"/>
    </xf>
    <xf numFmtId="0" fontId="22" fillId="0" borderId="22" xfId="0" applyFont="1" applyBorder="1" applyAlignment="1">
      <alignment horizont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0" xfId="0" applyFont="1" applyBorder="1" applyAlignment="1">
      <alignment horizontal="left" vertical="center"/>
    </xf>
    <xf numFmtId="0" fontId="22" fillId="0" borderId="73" xfId="0" applyFont="1" applyBorder="1" applyAlignment="1">
      <alignment horizontal="lef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0" xfId="0" applyBorder="1" applyAlignment="1">
      <alignment horizontal="left" vertical="center"/>
    </xf>
    <xf numFmtId="0" fontId="0" fillId="0" borderId="73" xfId="0" applyBorder="1" applyAlignment="1">
      <alignment horizontal="left" vertical="center"/>
    </xf>
    <xf numFmtId="0" fontId="51" fillId="0" borderId="114" xfId="0" applyFont="1" applyBorder="1" applyAlignment="1" applyProtection="1">
      <alignment horizontal="center" vertical="center"/>
    </xf>
    <xf numFmtId="0" fontId="32" fillId="0" borderId="96" xfId="0" applyFont="1" applyBorder="1" applyAlignment="1" applyProtection="1">
      <alignment horizontal="left" vertical="center"/>
    </xf>
    <xf numFmtId="0" fontId="32" fillId="0" borderId="0" xfId="0" applyFont="1" applyBorder="1" applyAlignment="1" applyProtection="1">
      <alignment horizontal="left" vertical="center"/>
    </xf>
    <xf numFmtId="4" fontId="37" fillId="0" borderId="0" xfId="0" applyNumberFormat="1" applyFont="1" applyBorder="1" applyAlignment="1">
      <alignment horizontal="center"/>
    </xf>
    <xf numFmtId="0" fontId="0" fillId="0" borderId="32" xfId="0" applyFont="1" applyBorder="1" applyAlignment="1">
      <alignment horizontal="center"/>
    </xf>
    <xf numFmtId="0" fontId="33" fillId="0" borderId="202" xfId="0" applyFont="1" applyBorder="1" applyAlignment="1" applyProtection="1">
      <alignment horizontal="justify" vertical="top" wrapText="1"/>
    </xf>
    <xf numFmtId="0" fontId="33" fillId="0" borderId="168" xfId="0" applyFont="1" applyBorder="1" applyAlignment="1" applyProtection="1">
      <alignment horizontal="justify" vertical="top" wrapText="1"/>
    </xf>
    <xf numFmtId="0" fontId="33" fillId="0" borderId="203" xfId="0" applyFont="1" applyBorder="1" applyAlignment="1" applyProtection="1">
      <alignment horizontal="justify" vertical="top" wrapText="1"/>
    </xf>
    <xf numFmtId="0" fontId="22" fillId="0" borderId="204" xfId="0" applyFont="1" applyBorder="1" applyAlignment="1" applyProtection="1">
      <alignment vertical="center"/>
    </xf>
    <xf numFmtId="0" fontId="22" fillId="0" borderId="205" xfId="0" applyFont="1" applyBorder="1" applyAlignment="1" applyProtection="1">
      <alignment vertical="center"/>
    </xf>
    <xf numFmtId="2" fontId="70" fillId="0" borderId="206" xfId="0" applyNumberFormat="1" applyFont="1" applyBorder="1" applyAlignment="1" applyProtection="1">
      <alignment horizontal="left"/>
    </xf>
    <xf numFmtId="2" fontId="70" fillId="0" borderId="207" xfId="0" applyNumberFormat="1" applyFont="1" applyBorder="1" applyAlignment="1" applyProtection="1">
      <alignment horizontal="left"/>
    </xf>
    <xf numFmtId="0" fontId="32" fillId="0" borderId="96" xfId="0" applyFont="1" applyBorder="1" applyAlignment="1" applyProtection="1">
      <alignment horizontal="left"/>
    </xf>
    <xf numFmtId="0" fontId="32" fillId="0" borderId="10" xfId="0" applyFont="1" applyBorder="1" applyAlignment="1" applyProtection="1">
      <alignment horizontal="left"/>
    </xf>
    <xf numFmtId="2" fontId="74" fillId="0" borderId="16" xfId="0" applyNumberFormat="1" applyFont="1" applyBorder="1" applyAlignment="1" applyProtection="1">
      <alignment horizontal="left"/>
    </xf>
    <xf numFmtId="0" fontId="32" fillId="0" borderId="27" xfId="0" applyFont="1" applyBorder="1" applyAlignment="1" applyProtection="1">
      <alignment horizontal="left"/>
    </xf>
    <xf numFmtId="2" fontId="63" fillId="0" borderId="11" xfId="0" applyNumberFormat="1" applyFont="1" applyBorder="1" applyAlignment="1" applyProtection="1">
      <alignment horizontal="left"/>
    </xf>
    <xf numFmtId="2" fontId="63" fillId="0" borderId="73" xfId="0" applyNumberFormat="1" applyFont="1" applyBorder="1" applyAlignment="1" applyProtection="1">
      <alignment horizontal="left"/>
    </xf>
    <xf numFmtId="0" fontId="32" fillId="0" borderId="199" xfId="0" applyFont="1" applyBorder="1" applyAlignment="1" applyProtection="1">
      <alignment horizontal="left"/>
    </xf>
    <xf numFmtId="0" fontId="32" fillId="0" borderId="165" xfId="0" applyFont="1" applyBorder="1" applyAlignment="1" applyProtection="1">
      <alignment horizontal="left"/>
    </xf>
    <xf numFmtId="0" fontId="32" fillId="0" borderId="162" xfId="0" applyFont="1" applyBorder="1" applyAlignment="1" applyProtection="1">
      <alignment horizontal="left"/>
    </xf>
    <xf numFmtId="0" fontId="32" fillId="0" borderId="198" xfId="0" applyFont="1" applyBorder="1" applyAlignment="1" applyProtection="1">
      <alignment horizontal="left"/>
    </xf>
    <xf numFmtId="2" fontId="74" fillId="0" borderId="16" xfId="0" applyNumberFormat="1" applyFont="1" applyBorder="1" applyAlignment="1">
      <alignment horizontal="left"/>
    </xf>
    <xf numFmtId="2" fontId="63" fillId="0" borderId="11" xfId="0" applyNumberFormat="1" applyFont="1" applyBorder="1" applyAlignment="1" applyProtection="1">
      <alignment horizontal="left"/>
      <protection locked="0"/>
    </xf>
    <xf numFmtId="2" fontId="63" fillId="0" borderId="73" xfId="0" applyNumberFormat="1" applyFont="1" applyBorder="1" applyAlignment="1" applyProtection="1">
      <alignment horizontal="left"/>
      <protection locked="0"/>
    </xf>
    <xf numFmtId="177" fontId="74" fillId="0" borderId="16" xfId="0" applyNumberFormat="1" applyFont="1" applyBorder="1" applyAlignment="1" applyProtection="1">
      <alignment horizontal="left"/>
      <protection locked="0"/>
    </xf>
    <xf numFmtId="177" fontId="63" fillId="0" borderId="11" xfId="0" applyNumberFormat="1" applyFont="1" applyBorder="1" applyAlignment="1" applyProtection="1">
      <alignment horizontal="left"/>
      <protection locked="0"/>
    </xf>
    <xf numFmtId="177" fontId="63" fillId="0" borderId="73" xfId="0" applyNumberFormat="1" applyFont="1" applyBorder="1" applyAlignment="1" applyProtection="1">
      <alignment horizontal="left"/>
      <protection locked="0"/>
    </xf>
    <xf numFmtId="0" fontId="74" fillId="0" borderId="16" xfId="0" applyFont="1" applyBorder="1" applyAlignment="1" applyProtection="1">
      <alignment horizontal="left"/>
      <protection locked="0"/>
    </xf>
    <xf numFmtId="0" fontId="63" fillId="0" borderId="11" xfId="0" applyFont="1" applyBorder="1" applyAlignment="1" applyProtection="1">
      <alignment horizontal="left"/>
      <protection locked="0"/>
    </xf>
    <xf numFmtId="0" fontId="63" fillId="0" borderId="73" xfId="0" applyFont="1" applyBorder="1" applyAlignment="1" applyProtection="1">
      <alignment horizontal="left"/>
      <protection locked="0"/>
    </xf>
    <xf numFmtId="0" fontId="22" fillId="0" borderId="200" xfId="0" applyFont="1" applyBorder="1" applyAlignment="1" applyProtection="1">
      <alignment horizontal="left" vertical="center"/>
    </xf>
    <xf numFmtId="0" fontId="22" fillId="0" borderId="166" xfId="0" applyFont="1" applyBorder="1" applyAlignment="1" applyProtection="1">
      <alignment horizontal="left" vertical="center"/>
    </xf>
    <xf numFmtId="0" fontId="22" fillId="0" borderId="167" xfId="0" applyFont="1" applyBorder="1" applyAlignment="1" applyProtection="1">
      <alignment horizontal="left" vertical="center"/>
    </xf>
    <xf numFmtId="0" fontId="22" fillId="0" borderId="201" xfId="0" applyFont="1" applyBorder="1" applyAlignment="1" applyProtection="1">
      <alignment horizontal="left" vertical="center"/>
    </xf>
    <xf numFmtId="0" fontId="32" fillId="0" borderId="119" xfId="0" applyFont="1" applyBorder="1" applyAlignment="1" applyProtection="1">
      <alignment horizontal="left"/>
    </xf>
    <xf numFmtId="0" fontId="32" fillId="0" borderId="163" xfId="0" applyFont="1" applyBorder="1" applyAlignment="1" applyProtection="1">
      <alignment horizontal="left"/>
    </xf>
    <xf numFmtId="12" fontId="74" fillId="0" borderId="25" xfId="0" applyNumberFormat="1" applyFont="1" applyBorder="1" applyAlignment="1" applyProtection="1">
      <alignment horizontal="left"/>
      <protection locked="0"/>
    </xf>
    <xf numFmtId="0" fontId="32" fillId="0" borderId="120" xfId="0" applyFont="1" applyBorder="1" applyAlignment="1" applyProtection="1">
      <alignment horizontal="left"/>
    </xf>
    <xf numFmtId="0" fontId="63" fillId="0" borderId="164" xfId="0" applyFont="1" applyBorder="1" applyAlignment="1" applyProtection="1">
      <alignment horizontal="left"/>
      <protection locked="0"/>
    </xf>
    <xf numFmtId="0" fontId="63" fillId="0" borderId="112" xfId="0" applyFont="1" applyBorder="1" applyAlignment="1" applyProtection="1">
      <alignment horizontal="left"/>
      <protection locked="0"/>
    </xf>
    <xf numFmtId="176" fontId="22" fillId="0" borderId="16" xfId="0" applyNumberFormat="1" applyFont="1" applyBorder="1" applyAlignment="1" applyProtection="1">
      <alignment horizontal="left"/>
    </xf>
    <xf numFmtId="176" fontId="63" fillId="0" borderId="11" xfId="0" applyNumberFormat="1" applyFont="1" applyBorder="1" applyAlignment="1" applyProtection="1">
      <alignment horizontal="left"/>
    </xf>
    <xf numFmtId="176" fontId="63" fillId="0" borderId="73" xfId="0" applyNumberFormat="1" applyFont="1" applyBorder="1" applyAlignment="1" applyProtection="1">
      <alignment horizontal="left"/>
    </xf>
    <xf numFmtId="2" fontId="22" fillId="0" borderId="16" xfId="0" applyNumberFormat="1" applyFont="1" applyBorder="1" applyAlignment="1" applyProtection="1">
      <alignment horizontal="left"/>
    </xf>
    <xf numFmtId="2" fontId="22" fillId="0" borderId="16" xfId="0" applyNumberFormat="1" applyFont="1" applyBorder="1" applyAlignment="1" applyProtection="1">
      <alignment horizontal="left"/>
      <protection locked="0"/>
    </xf>
    <xf numFmtId="12" fontId="22" fillId="0" borderId="25" xfId="0" applyNumberFormat="1" applyFont="1" applyBorder="1" applyAlignment="1" applyProtection="1">
      <alignment horizontal="left"/>
      <protection locked="0"/>
    </xf>
    <xf numFmtId="0" fontId="22" fillId="0" borderId="16" xfId="0" applyFont="1" applyBorder="1" applyAlignment="1" applyProtection="1">
      <alignment horizontal="left"/>
      <protection locked="0"/>
    </xf>
    <xf numFmtId="2" fontId="70" fillId="0" borderId="0" xfId="0" applyNumberFormat="1" applyFont="1" applyBorder="1" applyAlignment="1" applyProtection="1">
      <alignment horizontal="left" vertical="center"/>
    </xf>
    <xf numFmtId="2" fontId="70" fillId="0" borderId="73" xfId="0" applyNumberFormat="1" applyFont="1" applyBorder="1" applyAlignment="1" applyProtection="1">
      <alignment horizontal="left" vertical="center"/>
    </xf>
    <xf numFmtId="0" fontId="23" fillId="0" borderId="125" xfId="0" applyFont="1" applyBorder="1" applyAlignment="1" applyProtection="1">
      <alignment horizontal="left" vertical="center"/>
    </xf>
    <xf numFmtId="0" fontId="23" fillId="0" borderId="38" xfId="0" applyFont="1" applyBorder="1" applyAlignment="1" applyProtection="1">
      <alignment horizontal="left" vertical="center"/>
    </xf>
    <xf numFmtId="0" fontId="23" fillId="0" borderId="126" xfId="0" applyFont="1" applyBorder="1" applyAlignment="1" applyProtection="1">
      <alignment horizontal="left" vertical="center"/>
    </xf>
    <xf numFmtId="0" fontId="22" fillId="0" borderId="196" xfId="0" applyFont="1" applyBorder="1" applyAlignment="1" applyProtection="1">
      <alignment horizontal="left" vertical="center"/>
    </xf>
    <xf numFmtId="0" fontId="22" fillId="0" borderId="160" xfId="0" applyFont="1" applyBorder="1" applyAlignment="1" applyProtection="1">
      <alignment horizontal="left" vertical="center"/>
    </xf>
    <xf numFmtId="0" fontId="22" fillId="0" borderId="161" xfId="0" applyFont="1" applyBorder="1" applyAlignment="1" applyProtection="1">
      <alignment horizontal="left" vertical="center"/>
    </xf>
    <xf numFmtId="0" fontId="22" fillId="0" borderId="197" xfId="0" applyFont="1" applyBorder="1" applyAlignment="1" applyProtection="1">
      <alignment horizontal="left" vertical="center"/>
    </xf>
    <xf numFmtId="0" fontId="22" fillId="0" borderId="162" xfId="0" applyFont="1" applyBorder="1" applyAlignment="1" applyProtection="1">
      <alignment horizontal="left" vertical="center"/>
    </xf>
    <xf numFmtId="0" fontId="22" fillId="0" borderId="198" xfId="0" applyFont="1" applyBorder="1" applyAlignment="1" applyProtection="1">
      <alignment horizontal="left" vertical="center"/>
    </xf>
    <xf numFmtId="2" fontId="70" fillId="0" borderId="0" xfId="0" applyNumberFormat="1" applyFont="1" applyBorder="1" applyAlignment="1" applyProtection="1">
      <alignment horizontal="center" vertical="center"/>
      <protection locked="0"/>
    </xf>
    <xf numFmtId="176" fontId="70" fillId="0" borderId="0" xfId="0" applyNumberFormat="1" applyFont="1" applyBorder="1" applyAlignment="1" applyProtection="1">
      <alignment horizontal="center" vertical="center"/>
    </xf>
    <xf numFmtId="0" fontId="32" fillId="0" borderId="152" xfId="0" applyFont="1" applyBorder="1" applyAlignment="1" applyProtection="1">
      <alignment horizontal="left" vertical="center"/>
    </xf>
    <xf numFmtId="0" fontId="32" fillId="0" borderId="153" xfId="0" applyFont="1" applyBorder="1" applyAlignment="1" applyProtection="1">
      <alignment horizontal="left" vertical="center"/>
    </xf>
    <xf numFmtId="12" fontId="70" fillId="0" borderId="153" xfId="0" applyNumberFormat="1" applyFont="1" applyBorder="1" applyAlignment="1" applyProtection="1">
      <alignment horizontal="left"/>
      <protection locked="0"/>
    </xf>
    <xf numFmtId="12" fontId="22" fillId="0" borderId="153" xfId="0" applyNumberFormat="1" applyFont="1" applyBorder="1" applyAlignment="1" applyProtection="1">
      <alignment horizontal="left"/>
      <protection locked="0"/>
    </xf>
    <xf numFmtId="12" fontId="62" fillId="0" borderId="154" xfId="0" applyNumberFormat="1" applyFont="1" applyBorder="1" applyAlignment="1" applyProtection="1">
      <alignment horizontal="center"/>
      <protection locked="0"/>
    </xf>
    <xf numFmtId="12" fontId="62" fillId="0" borderId="155" xfId="0" applyNumberFormat="1" applyFont="1" applyBorder="1" applyAlignment="1" applyProtection="1">
      <alignment horizontal="center"/>
      <protection locked="0"/>
    </xf>
    <xf numFmtId="12" fontId="62" fillId="0" borderId="156" xfId="0" applyNumberFormat="1" applyFont="1" applyBorder="1" applyAlignment="1" applyProtection="1">
      <alignment horizontal="center"/>
      <protection locked="0"/>
    </xf>
    <xf numFmtId="12" fontId="22" fillId="0" borderId="195" xfId="0" applyNumberFormat="1" applyFont="1" applyBorder="1" applyAlignment="1" applyProtection="1">
      <alignment horizontal="left"/>
      <protection locked="0"/>
    </xf>
    <xf numFmtId="0" fontId="70" fillId="0" borderId="0" xfId="0" applyFont="1" applyBorder="1" applyAlignment="1" applyProtection="1">
      <alignment horizontal="center" vertical="center"/>
      <protection locked="0"/>
    </xf>
    <xf numFmtId="0" fontId="41" fillId="0" borderId="157" xfId="0" applyFont="1" applyBorder="1" applyAlignment="1" applyProtection="1">
      <alignment horizontal="center" vertical="center"/>
      <protection locked="0"/>
    </xf>
    <xf numFmtId="0" fontId="41" fillId="0" borderId="158" xfId="0" applyFont="1" applyBorder="1" applyAlignment="1" applyProtection="1">
      <alignment horizontal="center" vertical="center"/>
      <protection locked="0"/>
    </xf>
    <xf numFmtId="0" fontId="41" fillId="0" borderId="159" xfId="0" applyFont="1" applyBorder="1" applyAlignment="1" applyProtection="1">
      <alignment horizontal="center" vertical="center"/>
      <protection locked="0"/>
    </xf>
    <xf numFmtId="0" fontId="22" fillId="0" borderId="192" xfId="0" applyFont="1" applyBorder="1" applyAlignment="1" applyProtection="1">
      <alignment horizontal="center" vertical="center"/>
    </xf>
    <xf numFmtId="0" fontId="22" fillId="0" borderId="151" xfId="0" applyFont="1" applyBorder="1" applyAlignment="1" applyProtection="1">
      <alignment horizontal="center" vertical="center"/>
    </xf>
    <xf numFmtId="0" fontId="22" fillId="0" borderId="193" xfId="0" applyFont="1" applyBorder="1" applyAlignment="1" applyProtection="1">
      <alignment horizontal="center" vertical="center"/>
    </xf>
    <xf numFmtId="0" fontId="28" fillId="0" borderId="127" xfId="0" applyFont="1" applyFill="1" applyBorder="1" applyAlignment="1" applyProtection="1">
      <alignment horizontal="left" vertical="center"/>
    </xf>
    <xf numFmtId="0" fontId="28" fillId="0" borderId="128" xfId="0" applyFont="1" applyFill="1" applyBorder="1" applyAlignment="1" applyProtection="1">
      <alignment horizontal="left" vertical="center"/>
    </xf>
    <xf numFmtId="0" fontId="32" fillId="0" borderId="128" xfId="0" applyFont="1" applyFill="1" applyBorder="1" applyAlignment="1" applyProtection="1">
      <alignment horizontal="left" vertical="center"/>
    </xf>
    <xf numFmtId="0" fontId="32" fillId="0" borderId="194" xfId="0" applyFont="1" applyFill="1" applyBorder="1" applyAlignment="1" applyProtection="1">
      <alignment horizontal="left" vertical="center"/>
    </xf>
    <xf numFmtId="0" fontId="23" fillId="0" borderId="130" xfId="0" applyFont="1" applyBorder="1" applyAlignment="1" applyProtection="1">
      <alignment horizontal="left" vertical="center"/>
    </xf>
    <xf numFmtId="0" fontId="23" fillId="0" borderId="62" xfId="0" applyFont="1" applyBorder="1" applyAlignment="1" applyProtection="1">
      <alignment horizontal="left" vertical="center"/>
    </xf>
    <xf numFmtId="0" fontId="23" fillId="0" borderId="124" xfId="0" applyFont="1" applyBorder="1" applyAlignment="1" applyProtection="1">
      <alignment horizontal="left" vertical="center"/>
    </xf>
    <xf numFmtId="0" fontId="23" fillId="0" borderId="152" xfId="0" applyFont="1" applyBorder="1" applyAlignment="1" applyProtection="1">
      <alignment horizontal="left" vertical="center"/>
    </xf>
    <xf numFmtId="0" fontId="23" fillId="0" borderId="153" xfId="0" applyFont="1" applyBorder="1" applyAlignment="1" applyProtection="1">
      <alignment horizontal="left" vertical="center"/>
    </xf>
    <xf numFmtId="0" fontId="23" fillId="0" borderId="195" xfId="0" applyFont="1" applyBorder="1" applyAlignment="1" applyProtection="1">
      <alignment horizontal="left" vertical="center"/>
    </xf>
    <xf numFmtId="0" fontId="23" fillId="0" borderId="102" xfId="0" applyFont="1" applyBorder="1" applyAlignment="1" applyProtection="1">
      <alignment horizontal="left" vertical="center"/>
    </xf>
    <xf numFmtId="0" fontId="23" fillId="0" borderId="101"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104" xfId="0" applyFont="1" applyBorder="1" applyAlignment="1" applyProtection="1">
      <alignment horizontal="left" vertical="center"/>
    </xf>
    <xf numFmtId="0" fontId="32" fillId="0" borderId="110" xfId="0" applyFont="1" applyBorder="1" applyAlignment="1" applyProtection="1">
      <alignment horizontal="left" vertical="center"/>
    </xf>
    <xf numFmtId="0" fontId="32" fillId="0" borderId="12" xfId="0" applyFont="1" applyBorder="1" applyAlignment="1" applyProtection="1">
      <alignment horizontal="left" vertical="center"/>
    </xf>
    <xf numFmtId="2" fontId="73" fillId="0" borderId="0" xfId="0" applyNumberFormat="1" applyFont="1" applyBorder="1" applyAlignment="1" applyProtection="1">
      <alignment horizontal="left" vertical="center"/>
    </xf>
    <xf numFmtId="2" fontId="63" fillId="0" borderId="0" xfId="0" applyNumberFormat="1" applyFont="1" applyBorder="1" applyAlignment="1" applyProtection="1">
      <alignment horizontal="left" vertical="center"/>
    </xf>
    <xf numFmtId="2" fontId="73" fillId="0" borderId="12" xfId="0" applyNumberFormat="1" applyFont="1" applyBorder="1" applyAlignment="1">
      <alignment horizontal="center" vertical="center"/>
    </xf>
    <xf numFmtId="1" fontId="70" fillId="0" borderId="0" xfId="0" applyNumberFormat="1" applyFont="1" applyBorder="1" applyAlignment="1" applyProtection="1">
      <alignment horizontal="left" vertical="center"/>
    </xf>
    <xf numFmtId="2" fontId="73" fillId="0" borderId="11" xfId="0" applyNumberFormat="1" applyFont="1" applyBorder="1" applyAlignment="1">
      <alignment horizontal="left" vertical="center"/>
    </xf>
    <xf numFmtId="2" fontId="73" fillId="0" borderId="73" xfId="0" applyNumberFormat="1" applyFont="1" applyBorder="1" applyAlignment="1">
      <alignment horizontal="left" vertical="center"/>
    </xf>
    <xf numFmtId="2" fontId="73" fillId="0" borderId="16" xfId="0" applyNumberFormat="1" applyFont="1" applyBorder="1" applyAlignment="1" applyProtection="1">
      <alignment horizontal="left" vertical="center"/>
    </xf>
    <xf numFmtId="0" fontId="70" fillId="0" borderId="0" xfId="0" applyFont="1" applyBorder="1" applyAlignment="1" applyProtection="1">
      <alignment horizontal="center" vertical="center"/>
    </xf>
    <xf numFmtId="0" fontId="28" fillId="0" borderId="109" xfId="0" applyFont="1" applyBorder="1" applyAlignment="1" applyProtection="1">
      <alignment horizontal="left" vertical="center"/>
    </xf>
    <xf numFmtId="0" fontId="28" fillId="0" borderId="15" xfId="0" applyFont="1" applyBorder="1" applyAlignment="1" applyProtection="1">
      <alignment horizontal="left" vertical="center"/>
    </xf>
    <xf numFmtId="0" fontId="70" fillId="0" borderId="15" xfId="0" applyFont="1" applyBorder="1" applyAlignment="1" applyProtection="1">
      <alignment horizontal="left" vertical="center"/>
    </xf>
    <xf numFmtId="0" fontId="22" fillId="0" borderId="15" xfId="0" applyFont="1" applyBorder="1" applyAlignment="1" applyProtection="1">
      <alignment horizontal="left" vertical="center"/>
    </xf>
    <xf numFmtId="0" fontId="22" fillId="0" borderId="129" xfId="0" applyFont="1" applyBorder="1" applyAlignment="1" applyProtection="1">
      <alignment horizontal="left" vertical="center"/>
    </xf>
    <xf numFmtId="176" fontId="73" fillId="0" borderId="11" xfId="0" applyNumberFormat="1" applyFont="1" applyBorder="1" applyAlignment="1">
      <alignment horizontal="left" vertical="center"/>
    </xf>
    <xf numFmtId="176" fontId="73" fillId="0" borderId="73" xfId="0" applyNumberFormat="1" applyFont="1" applyBorder="1" applyAlignment="1">
      <alignment horizontal="left" vertical="center"/>
    </xf>
    <xf numFmtId="3" fontId="69" fillId="0" borderId="12" xfId="0" applyNumberFormat="1" applyFont="1" applyBorder="1" applyAlignment="1" applyProtection="1">
      <alignment horizontal="center" vertical="center"/>
      <protection locked="0"/>
    </xf>
    <xf numFmtId="0" fontId="28" fillId="0" borderId="12" xfId="0" applyFont="1" applyBorder="1" applyAlignment="1" applyProtection="1">
      <alignment horizontal="left" vertical="center"/>
    </xf>
    <xf numFmtId="3" fontId="69" fillId="0" borderId="106" xfId="0" applyNumberFormat="1" applyFont="1" applyBorder="1" applyAlignment="1" applyProtection="1">
      <alignment horizontal="center" vertical="center"/>
      <protection locked="0"/>
    </xf>
    <xf numFmtId="0" fontId="28" fillId="0" borderId="96" xfId="0" applyFont="1" applyBorder="1" applyAlignment="1" applyProtection="1">
      <alignment horizontal="left" vertical="center"/>
    </xf>
    <xf numFmtId="0" fontId="28" fillId="0" borderId="0" xfId="0" applyFont="1" applyBorder="1" applyAlignment="1" applyProtection="1">
      <alignment horizontal="left" vertical="center"/>
    </xf>
    <xf numFmtId="0" fontId="0" fillId="0" borderId="96" xfId="0" applyBorder="1" applyAlignment="1">
      <alignment horizontal="left" vertical="center"/>
    </xf>
    <xf numFmtId="0" fontId="28" fillId="0" borderId="0" xfId="0" applyFont="1" applyBorder="1" applyAlignment="1" applyProtection="1">
      <alignment horizontal="left" vertical="center"/>
      <protection locked="0"/>
    </xf>
    <xf numFmtId="0" fontId="71" fillId="0" borderId="0" xfId="0" applyFont="1" applyBorder="1" applyAlignment="1" applyProtection="1">
      <alignment horizontal="left" vertical="center"/>
    </xf>
    <xf numFmtId="0" fontId="71" fillId="0" borderId="73" xfId="0" applyFont="1" applyBorder="1" applyAlignment="1" applyProtection="1">
      <alignment horizontal="left" vertical="center"/>
    </xf>
    <xf numFmtId="174" fontId="28" fillId="0" borderId="96" xfId="0" applyNumberFormat="1" applyFont="1" applyBorder="1" applyAlignment="1" applyProtection="1">
      <alignment horizontal="left" vertical="center"/>
    </xf>
    <xf numFmtId="174" fontId="28" fillId="0" borderId="0" xfId="0" applyNumberFormat="1" applyFont="1" applyBorder="1" applyAlignment="1" applyProtection="1">
      <alignment horizontal="left" vertical="center"/>
    </xf>
    <xf numFmtId="0" fontId="0" fillId="0" borderId="101" xfId="0" applyBorder="1" applyAlignment="1">
      <alignment horizontal="center" vertical="center"/>
    </xf>
    <xf numFmtId="0" fontId="69" fillId="0" borderId="0" xfId="0" applyFont="1" applyBorder="1" applyAlignment="1" applyProtection="1">
      <alignment horizontal="left" vertical="center"/>
      <protection locked="0"/>
    </xf>
    <xf numFmtId="1" fontId="28" fillId="0" borderId="0" xfId="0" applyNumberFormat="1" applyFont="1" applyBorder="1" applyAlignment="1" applyProtection="1">
      <alignment horizontal="left" vertical="center"/>
    </xf>
    <xf numFmtId="1" fontId="28" fillId="0" borderId="73" xfId="0" applyNumberFormat="1" applyFont="1" applyBorder="1" applyAlignment="1" applyProtection="1">
      <alignment horizontal="left" vertical="center"/>
    </xf>
    <xf numFmtId="0" fontId="28" fillId="0" borderId="67" xfId="0" applyFont="1" applyBorder="1" applyAlignment="1" applyProtection="1">
      <alignment horizontal="left" vertical="center"/>
    </xf>
    <xf numFmtId="0" fontId="28" fillId="0" borderId="68" xfId="0" applyFont="1" applyBorder="1" applyAlignment="1" applyProtection="1">
      <alignment horizontal="left" vertical="center"/>
    </xf>
    <xf numFmtId="0" fontId="28" fillId="0" borderId="73" xfId="0" applyFont="1" applyBorder="1" applyAlignment="1" applyProtection="1">
      <alignment horizontal="left" vertical="center"/>
    </xf>
    <xf numFmtId="0" fontId="28" fillId="0" borderId="0" xfId="0" applyFont="1" applyBorder="1" applyAlignment="1">
      <alignment horizontal="left"/>
    </xf>
    <xf numFmtId="0" fontId="58" fillId="0" borderId="0" xfId="0" applyFont="1" applyBorder="1" applyAlignment="1">
      <alignment horizontal="left"/>
    </xf>
    <xf numFmtId="0" fontId="65" fillId="0" borderId="97" xfId="0" applyFont="1" applyBorder="1" applyAlignment="1">
      <alignment horizontal="center" vertical="center"/>
    </xf>
    <xf numFmtId="0" fontId="65" fillId="0" borderId="98" xfId="0" applyFont="1" applyBorder="1" applyAlignment="1">
      <alignment horizontal="center" vertical="center"/>
    </xf>
    <xf numFmtId="0" fontId="0" fillId="0" borderId="96" xfId="0" applyFont="1" applyBorder="1" applyAlignment="1" applyProtection="1"/>
    <xf numFmtId="0" fontId="0" fillId="0" borderId="10" xfId="0" applyFont="1" applyBorder="1" applyAlignment="1" applyProtection="1"/>
    <xf numFmtId="4" fontId="70" fillId="0" borderId="0" xfId="0" applyNumberFormat="1" applyFont="1" applyBorder="1" applyAlignment="1" applyProtection="1">
      <alignment horizontal="left"/>
      <protection locked="0"/>
    </xf>
    <xf numFmtId="0" fontId="0" fillId="0" borderId="110" xfId="0" applyFont="1" applyBorder="1" applyAlignment="1" applyProtection="1">
      <alignment horizontal="left"/>
    </xf>
    <xf numFmtId="0" fontId="0" fillId="0" borderId="65" xfId="0" applyFont="1" applyBorder="1" applyAlignment="1" applyProtection="1">
      <alignment horizontal="left"/>
    </xf>
    <xf numFmtId="0" fontId="0" fillId="0" borderId="96" xfId="0" applyFont="1" applyBorder="1" applyAlignment="1" applyProtection="1">
      <alignment horizontal="left"/>
    </xf>
    <xf numFmtId="0" fontId="0" fillId="0" borderId="10" xfId="0" applyFont="1" applyBorder="1" applyAlignment="1" applyProtection="1">
      <alignment horizontal="left"/>
    </xf>
    <xf numFmtId="0" fontId="0" fillId="0" borderId="0" xfId="0" applyFont="1" applyBorder="1" applyAlignment="1" applyProtection="1">
      <alignment horizontal="left"/>
    </xf>
    <xf numFmtId="0" fontId="70" fillId="0" borderId="11" xfId="0" applyNumberFormat="1" applyFont="1" applyBorder="1" applyAlignment="1" applyProtection="1">
      <alignment horizontal="left"/>
      <protection locked="0"/>
    </xf>
    <xf numFmtId="0" fontId="70" fillId="0" borderId="73" xfId="0" applyNumberFormat="1" applyFont="1" applyBorder="1" applyAlignment="1" applyProtection="1">
      <alignment horizontal="left"/>
      <protection locked="0"/>
    </xf>
    <xf numFmtId="0" fontId="70" fillId="0" borderId="0" xfId="0" applyFont="1" applyBorder="1" applyAlignment="1" applyProtection="1">
      <alignment horizontal="center"/>
      <protection locked="0"/>
    </xf>
    <xf numFmtId="0" fontId="28" fillId="0" borderId="67" xfId="0" applyFont="1" applyBorder="1" applyAlignment="1" applyProtection="1">
      <alignment horizontal="center" vertical="top"/>
    </xf>
    <xf numFmtId="0" fontId="28" fillId="0" borderId="75" xfId="0" applyFont="1" applyBorder="1" applyAlignment="1" applyProtection="1">
      <alignment horizontal="center" vertical="top"/>
    </xf>
    <xf numFmtId="0" fontId="28" fillId="0" borderId="189" xfId="0" applyFont="1" applyBorder="1" applyAlignment="1" applyProtection="1">
      <alignment horizontal="center" vertical="top"/>
    </xf>
    <xf numFmtId="0" fontId="23" fillId="0" borderId="75" xfId="0" applyFont="1" applyBorder="1" applyAlignment="1" applyProtection="1">
      <alignment horizontal="center" vertical="top" wrapText="1"/>
    </xf>
    <xf numFmtId="0" fontId="23" fillId="0" borderId="190" xfId="0" applyFont="1" applyBorder="1" applyAlignment="1" applyProtection="1">
      <alignment horizontal="center" vertical="top" wrapText="1"/>
    </xf>
    <xf numFmtId="0" fontId="28" fillId="0" borderId="191" xfId="0" applyFont="1" applyBorder="1" applyAlignment="1" applyProtection="1">
      <alignment horizontal="center" vertical="top"/>
    </xf>
    <xf numFmtId="0" fontId="26" fillId="0" borderId="75" xfId="0" applyFont="1" applyBorder="1" applyAlignment="1" applyProtection="1">
      <alignment horizontal="center" vertical="top"/>
    </xf>
    <xf numFmtId="0" fontId="26" fillId="0" borderId="68" xfId="0" applyFont="1" applyBorder="1" applyAlignment="1" applyProtection="1">
      <alignment horizontal="center" vertical="top"/>
    </xf>
    <xf numFmtId="0" fontId="22" fillId="0" borderId="110"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06" xfId="0" applyFont="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109" xfId="0" applyFont="1" applyBorder="1" applyAlignment="1" applyProtection="1">
      <alignment horizontal="left"/>
    </xf>
    <xf numFmtId="0" fontId="0" fillId="0" borderId="15" xfId="0" applyFont="1" applyBorder="1" applyAlignment="1" applyProtection="1">
      <alignment horizontal="left"/>
    </xf>
    <xf numFmtId="0" fontId="70" fillId="0" borderId="129" xfId="0" applyFont="1" applyBorder="1" applyAlignment="1" applyProtection="1">
      <alignment horizontal="left" vertical="center"/>
    </xf>
    <xf numFmtId="2" fontId="62" fillId="0" borderId="144" xfId="0" applyNumberFormat="1" applyFont="1" applyBorder="1" applyAlignment="1" applyProtection="1">
      <alignment horizontal="center" vertical="center"/>
      <protection locked="0"/>
    </xf>
    <xf numFmtId="2" fontId="62" fillId="0" borderId="49" xfId="0" applyNumberFormat="1" applyFont="1" applyBorder="1" applyAlignment="1" applyProtection="1">
      <alignment horizontal="center" vertical="center"/>
      <protection locked="0"/>
    </xf>
    <xf numFmtId="2" fontId="72" fillId="0" borderId="49" xfId="0" applyNumberFormat="1" applyFont="1" applyBorder="1" applyAlignment="1" applyProtection="1">
      <alignment horizontal="center" vertical="center"/>
      <protection locked="0"/>
    </xf>
    <xf numFmtId="2" fontId="70" fillId="0" borderId="145" xfId="0" applyNumberFormat="1" applyFont="1" applyBorder="1" applyAlignment="1" applyProtection="1">
      <alignment horizontal="center" vertical="center"/>
      <protection locked="0"/>
    </xf>
    <xf numFmtId="2" fontId="70" fillId="0" borderId="146" xfId="0" applyNumberFormat="1" applyFont="1" applyBorder="1" applyAlignment="1" applyProtection="1">
      <alignment horizontal="center" vertical="center"/>
      <protection locked="0"/>
    </xf>
    <xf numFmtId="2" fontId="62" fillId="0" borderId="147" xfId="0" applyNumberFormat="1" applyFont="1" applyBorder="1" applyAlignment="1" applyProtection="1">
      <alignment horizontal="center" vertical="center"/>
      <protection locked="0"/>
    </xf>
    <xf numFmtId="2" fontId="70" fillId="0" borderId="148" xfId="0" applyNumberFormat="1" applyFont="1" applyBorder="1" applyAlignment="1" applyProtection="1">
      <alignment horizontal="center" vertical="center"/>
      <protection locked="0"/>
    </xf>
    <xf numFmtId="0" fontId="28" fillId="0" borderId="119" xfId="0" applyFont="1" applyBorder="1" applyAlignment="1" applyProtection="1">
      <alignment vertical="top"/>
    </xf>
    <xf numFmtId="0" fontId="22" fillId="0" borderId="125" xfId="0" applyFont="1" applyBorder="1" applyAlignment="1" applyProtection="1">
      <alignment horizontal="center" vertical="center"/>
    </xf>
    <xf numFmtId="0" fontId="22" fillId="0" borderId="126" xfId="0" applyFont="1" applyBorder="1" applyAlignment="1" applyProtection="1">
      <alignment horizontal="center" vertical="center"/>
    </xf>
    <xf numFmtId="0" fontId="32" fillId="0" borderId="125" xfId="0" applyFont="1" applyBorder="1" applyAlignment="1" applyProtection="1">
      <alignment horizontal="left" vertical="center"/>
    </xf>
    <xf numFmtId="0" fontId="70" fillId="0" borderId="22" xfId="0" applyFont="1" applyBorder="1" applyAlignment="1" applyProtection="1">
      <alignment horizontal="left" vertical="center"/>
      <protection locked="0"/>
    </xf>
    <xf numFmtId="0" fontId="70" fillId="0" borderId="126" xfId="0" applyFont="1" applyBorder="1" applyAlignment="1" applyProtection="1">
      <alignment horizontal="left" vertical="center"/>
      <protection locked="0"/>
    </xf>
    <xf numFmtId="0" fontId="22" fillId="0" borderId="131"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132" xfId="0" applyFont="1" applyBorder="1" applyAlignment="1" applyProtection="1">
      <alignment horizontal="center" vertical="center"/>
    </xf>
    <xf numFmtId="0" fontId="26" fillId="0" borderId="214" xfId="0" applyFont="1" applyBorder="1" applyAlignment="1" applyProtection="1">
      <alignment horizontal="justify" vertical="top" wrapText="1"/>
    </xf>
    <xf numFmtId="0" fontId="26" fillId="0" borderId="215" xfId="0" applyFont="1" applyBorder="1" applyAlignment="1" applyProtection="1">
      <alignment horizontal="justify" vertical="top" wrapText="1"/>
    </xf>
    <xf numFmtId="0" fontId="70" fillId="0" borderId="23" xfId="0" applyFont="1" applyBorder="1" applyAlignment="1" applyProtection="1">
      <alignment horizontal="center"/>
      <protection locked="0"/>
    </xf>
    <xf numFmtId="0" fontId="70" fillId="0" borderId="20" xfId="0" applyFont="1" applyBorder="1" applyAlignment="1" applyProtection="1">
      <alignment horizontal="left"/>
      <protection locked="0"/>
    </xf>
    <xf numFmtId="0" fontId="70" fillId="0" borderId="73" xfId="0" applyFont="1" applyBorder="1" applyAlignment="1" applyProtection="1">
      <alignment horizontal="left"/>
      <protection locked="0"/>
    </xf>
    <xf numFmtId="0" fontId="0" fillId="0" borderId="109" xfId="0" applyFont="1" applyBorder="1" applyAlignment="1" applyProtection="1">
      <alignment horizontal="left" vertical="center"/>
    </xf>
    <xf numFmtId="0" fontId="70" fillId="0" borderId="18" xfId="0" applyFont="1" applyBorder="1" applyAlignment="1" applyProtection="1">
      <alignment horizontal="left" vertical="center"/>
      <protection locked="0"/>
    </xf>
    <xf numFmtId="0" fontId="70" fillId="0" borderId="129" xfId="0" applyFont="1" applyBorder="1" applyAlignment="1" applyProtection="1">
      <alignment horizontal="left" vertical="center"/>
      <protection locked="0"/>
    </xf>
    <xf numFmtId="0" fontId="0" fillId="0" borderId="110" xfId="0" applyBorder="1" applyAlignment="1" applyProtection="1">
      <alignment horizontal="left" vertical="center"/>
    </xf>
    <xf numFmtId="0" fontId="70" fillId="0" borderId="108" xfId="0" applyFont="1" applyBorder="1" applyAlignment="1" applyProtection="1">
      <alignment horizontal="left" vertical="center"/>
      <protection locked="0"/>
    </xf>
    <xf numFmtId="0" fontId="70" fillId="0" borderId="106" xfId="0" applyFont="1" applyBorder="1" applyAlignment="1" applyProtection="1">
      <alignment horizontal="left" vertical="center"/>
      <protection locked="0"/>
    </xf>
    <xf numFmtId="0" fontId="0" fillId="0" borderId="110" xfId="0" applyFont="1" applyBorder="1" applyAlignment="1" applyProtection="1">
      <alignment horizontal="right" vertical="center"/>
    </xf>
    <xf numFmtId="1" fontId="70" fillId="0" borderId="108" xfId="0" applyNumberFormat="1" applyFont="1" applyBorder="1" applyAlignment="1" applyProtection="1">
      <alignment horizontal="left" vertical="center"/>
      <protection locked="0"/>
    </xf>
    <xf numFmtId="1" fontId="70" fillId="0" borderId="106" xfId="0" applyNumberFormat="1" applyFont="1" applyBorder="1" applyAlignment="1" applyProtection="1">
      <alignment horizontal="left" vertical="center"/>
      <protection locked="0"/>
    </xf>
    <xf numFmtId="0" fontId="0" fillId="0" borderId="125" xfId="0" applyFont="1" applyBorder="1" applyAlignment="1" applyProtection="1">
      <alignment horizontal="left" vertical="center"/>
    </xf>
    <xf numFmtId="0" fontId="0" fillId="0" borderId="96" xfId="0" applyFont="1" applyBorder="1" applyAlignment="1" applyProtection="1">
      <alignment horizontal="right" vertical="center"/>
    </xf>
    <xf numFmtId="0" fontId="70" fillId="0" borderId="20" xfId="0" applyFont="1" applyBorder="1" applyAlignment="1" applyProtection="1">
      <alignment horizontal="left" vertical="center"/>
      <protection locked="0"/>
    </xf>
    <xf numFmtId="0" fontId="70" fillId="0" borderId="73" xfId="0" applyFont="1" applyBorder="1" applyAlignment="1" applyProtection="1">
      <alignment horizontal="left" vertical="center"/>
      <protection locked="0"/>
    </xf>
    <xf numFmtId="0" fontId="70" fillId="0" borderId="67" xfId="0" applyFont="1" applyBorder="1" applyAlignment="1">
      <alignment horizontal="center" vertical="center"/>
    </xf>
    <xf numFmtId="0" fontId="70" fillId="0" borderId="68" xfId="0" applyFont="1" applyBorder="1" applyAlignment="1">
      <alignment horizontal="center" vertical="center"/>
    </xf>
    <xf numFmtId="0" fontId="70" fillId="0" borderId="75" xfId="0" applyFont="1" applyBorder="1" applyAlignment="1">
      <alignment horizontal="center" vertical="center"/>
    </xf>
    <xf numFmtId="0" fontId="22" fillId="0" borderId="107" xfId="0" applyFont="1" applyBorder="1" applyAlignment="1" applyProtection="1">
      <alignment horizontal="center" vertical="center"/>
    </xf>
    <xf numFmtId="0" fontId="22" fillId="0" borderId="213" xfId="0" applyFont="1" applyBorder="1" applyAlignment="1" applyProtection="1">
      <alignment horizontal="center" vertical="center"/>
    </xf>
    <xf numFmtId="0" fontId="0" fillId="0" borderId="125" xfId="0" applyFont="1" applyBorder="1" applyAlignment="1" applyProtection="1">
      <alignment horizontal="left" vertical="top" wrapText="1"/>
      <protection locked="0"/>
    </xf>
    <xf numFmtId="0" fontId="70" fillId="0" borderId="38" xfId="0" applyFont="1" applyBorder="1" applyAlignment="1" applyProtection="1">
      <alignment horizontal="left" vertical="top" wrapText="1"/>
      <protection locked="0"/>
    </xf>
    <xf numFmtId="0" fontId="70" fillId="0" borderId="0" xfId="0" applyFont="1" applyBorder="1" applyAlignment="1">
      <alignment horizontal="left" vertical="center"/>
    </xf>
    <xf numFmtId="0" fontId="70" fillId="0" borderId="73" xfId="0" applyFont="1" applyBorder="1" applyAlignment="1">
      <alignment horizontal="left" vertical="center"/>
    </xf>
    <xf numFmtId="0" fontId="70" fillId="0" borderId="63" xfId="0" applyFont="1" applyBorder="1" applyAlignment="1">
      <alignment horizontal="center" vertical="center"/>
    </xf>
    <xf numFmtId="0" fontId="70" fillId="0" borderId="94" xfId="0" applyFont="1" applyBorder="1" applyAlignment="1">
      <alignment horizontal="center" vertical="center"/>
    </xf>
    <xf numFmtId="0" fontId="70" fillId="0" borderId="14" xfId="0" applyFont="1" applyBorder="1" applyAlignment="1">
      <alignment horizontal="center"/>
    </xf>
    <xf numFmtId="0" fontId="70" fillId="0" borderId="37" xfId="0" applyFont="1" applyBorder="1" applyAlignment="1">
      <alignment horizontal="center"/>
    </xf>
    <xf numFmtId="0" fontId="70" fillId="0" borderId="22" xfId="0" applyFont="1" applyBorder="1" applyAlignment="1">
      <alignment horizontal="center"/>
    </xf>
    <xf numFmtId="0" fontId="41" fillId="0" borderId="63" xfId="0" applyFont="1" applyBorder="1" applyAlignment="1">
      <alignment horizontal="left"/>
    </xf>
    <xf numFmtId="0" fontId="41" fillId="0" borderId="78" xfId="0" applyFont="1" applyBorder="1" applyAlignment="1">
      <alignment horizontal="left"/>
    </xf>
    <xf numFmtId="0" fontId="41" fillId="0" borderId="94" xfId="0" applyFont="1" applyBorder="1" applyAlignment="1">
      <alignment horizontal="left"/>
    </xf>
    <xf numFmtId="0" fontId="0" fillId="0" borderId="63" xfId="0" applyBorder="1" applyAlignment="1">
      <alignment horizontal="center" vertical="center"/>
    </xf>
    <xf numFmtId="0" fontId="0" fillId="0" borderId="78" xfId="0" applyBorder="1" applyAlignment="1">
      <alignment horizontal="center" vertical="center"/>
    </xf>
    <xf numFmtId="0" fontId="0" fillId="0" borderId="94" xfId="0" applyBorder="1" applyAlignment="1">
      <alignment horizontal="center" vertical="center"/>
    </xf>
    <xf numFmtId="0" fontId="0" fillId="0" borderId="97" xfId="0" applyBorder="1" applyAlignment="1">
      <alignment horizontal="center" vertical="center"/>
    </xf>
    <xf numFmtId="0" fontId="0" fillId="0" borderId="83" xfId="0" applyBorder="1" applyAlignment="1">
      <alignment horizontal="center" vertical="center"/>
    </xf>
    <xf numFmtId="0" fontId="0" fillId="0" borderId="98" xfId="0" applyBorder="1" applyAlignment="1">
      <alignment horizontal="center" vertical="center"/>
    </xf>
    <xf numFmtId="0" fontId="23" fillId="0" borderId="67" xfId="0" applyFont="1" applyBorder="1" applyAlignment="1">
      <alignment horizontal="center"/>
    </xf>
    <xf numFmtId="0" fontId="23" fillId="0" borderId="68" xfId="0" applyFont="1" applyBorder="1" applyAlignment="1">
      <alignment horizontal="center"/>
    </xf>
    <xf numFmtId="0" fontId="22" fillId="0" borderId="169" xfId="0" applyFont="1" applyBorder="1" applyAlignment="1">
      <alignment horizontal="center"/>
    </xf>
    <xf numFmtId="0" fontId="22" fillId="0" borderId="170" xfId="0" applyFont="1" applyBorder="1" applyAlignment="1">
      <alignment horizontal="center"/>
    </xf>
    <xf numFmtId="0" fontId="22" fillId="0" borderId="171" xfId="0" applyFont="1" applyBorder="1" applyAlignment="1">
      <alignment horizontal="center"/>
    </xf>
    <xf numFmtId="2" fontId="70" fillId="30" borderId="107" xfId="0" applyNumberFormat="1" applyFont="1" applyFill="1" applyBorder="1" applyAlignment="1">
      <alignment horizontal="center"/>
    </xf>
    <xf numFmtId="0" fontId="41" fillId="0" borderId="96" xfId="0" applyFont="1" applyBorder="1" applyAlignment="1">
      <alignment horizontal="left"/>
    </xf>
    <xf numFmtId="0" fontId="41" fillId="0" borderId="0" xfId="0" applyFont="1" applyBorder="1" applyAlignment="1">
      <alignment horizontal="left"/>
    </xf>
    <xf numFmtId="0" fontId="41" fillId="0" borderId="73" xfId="0" applyFont="1" applyBorder="1" applyAlignment="1">
      <alignment horizontal="left"/>
    </xf>
    <xf numFmtId="0" fontId="0" fillId="0" borderId="63" xfId="0" applyBorder="1" applyAlignment="1">
      <alignment horizontal="center" wrapText="1"/>
    </xf>
    <xf numFmtId="0" fontId="0" fillId="0" borderId="78" xfId="0" applyBorder="1" applyAlignment="1">
      <alignment horizontal="center" wrapText="1"/>
    </xf>
    <xf numFmtId="0" fontId="0" fillId="0" borderId="94" xfId="0" applyBorder="1" applyAlignment="1">
      <alignment horizontal="center" wrapText="1"/>
    </xf>
    <xf numFmtId="0" fontId="0" fillId="0" borderId="97" xfId="0" applyBorder="1" applyAlignment="1">
      <alignment horizontal="center" wrapText="1"/>
    </xf>
    <xf numFmtId="0" fontId="0" fillId="0" borderId="83" xfId="0" applyBorder="1" applyAlignment="1">
      <alignment horizontal="center" wrapText="1"/>
    </xf>
    <xf numFmtId="0" fontId="0" fillId="0" borderId="98" xfId="0" applyBorder="1" applyAlignment="1">
      <alignment horizontal="center" wrapText="1"/>
    </xf>
    <xf numFmtId="0" fontId="0" fillId="0" borderId="208" xfId="0" applyFont="1" applyBorder="1" applyAlignment="1" applyProtection="1">
      <alignment horizontal="left" vertical="top"/>
    </xf>
    <xf numFmtId="0" fontId="0" fillId="0" borderId="209" xfId="0" applyFont="1" applyBorder="1" applyAlignment="1" applyProtection="1">
      <alignment horizontal="left" vertical="top"/>
    </xf>
    <xf numFmtId="0" fontId="22" fillId="0" borderId="210" xfId="0" applyFont="1" applyBorder="1" applyAlignment="1" applyProtection="1">
      <alignment horizontal="center" vertical="center"/>
    </xf>
    <xf numFmtId="0" fontId="0" fillId="0" borderId="211" xfId="0" applyBorder="1" applyAlignment="1" applyProtection="1">
      <alignment horizontal="center" vertical="top"/>
    </xf>
    <xf numFmtId="0" fontId="0" fillId="0" borderId="211" xfId="0" applyFont="1" applyBorder="1" applyAlignment="1" applyProtection="1">
      <alignment horizontal="center" vertical="top"/>
    </xf>
    <xf numFmtId="0" fontId="0" fillId="0" borderId="212" xfId="0" applyFont="1" applyBorder="1" applyAlignment="1" applyProtection="1">
      <alignment horizontal="center" vertical="top"/>
    </xf>
    <xf numFmtId="0" fontId="22" fillId="0" borderId="67" xfId="0" applyFont="1" applyBorder="1" applyAlignment="1" applyProtection="1">
      <alignment horizontal="center" vertical="center"/>
    </xf>
    <xf numFmtId="0" fontId="22" fillId="0" borderId="75" xfId="0" applyFont="1" applyBorder="1" applyAlignment="1" applyProtection="1">
      <alignment horizontal="center" vertical="center"/>
    </xf>
    <xf numFmtId="0" fontId="22" fillId="0" borderId="68" xfId="0" applyFont="1" applyBorder="1" applyAlignment="1" applyProtection="1">
      <alignment horizontal="center" vertical="center"/>
    </xf>
    <xf numFmtId="0" fontId="0" fillId="0" borderId="0" xfId="0" applyBorder="1" applyAlignment="1">
      <alignment horizontal="center"/>
    </xf>
    <xf numFmtId="0" fontId="0" fillId="0" borderId="0" xfId="0" applyAlignment="1">
      <alignment horizontal="center"/>
    </xf>
    <xf numFmtId="0" fontId="0" fillId="0" borderId="183" xfId="0" applyFont="1" applyBorder="1" applyAlignment="1" applyProtection="1">
      <alignment horizontal="center" vertical="center"/>
    </xf>
    <xf numFmtId="0" fontId="0" fillId="0" borderId="81" xfId="0" applyFont="1" applyBorder="1" applyAlignment="1" applyProtection="1"/>
    <xf numFmtId="0" fontId="0" fillId="0" borderId="69" xfId="0" applyFont="1" applyBorder="1" applyAlignment="1" applyProtection="1"/>
    <xf numFmtId="0" fontId="0" fillId="0" borderId="17" xfId="0" applyFont="1" applyBorder="1" applyAlignment="1" applyProtection="1"/>
    <xf numFmtId="0" fontId="0" fillId="0" borderId="15" xfId="0" applyBorder="1" applyAlignment="1" applyProtection="1">
      <alignment horizontal="center"/>
    </xf>
    <xf numFmtId="0" fontId="32" fillId="0" borderId="0" xfId="0" applyFont="1" applyBorder="1" applyAlignment="1" applyProtection="1"/>
    <xf numFmtId="0" fontId="32" fillId="0" borderId="16" xfId="0" applyFont="1" applyBorder="1" applyAlignment="1" applyProtection="1"/>
    <xf numFmtId="0" fontId="32" fillId="0" borderId="63" xfId="0" applyFont="1" applyBorder="1" applyAlignment="1" applyProtection="1">
      <alignment horizontal="left"/>
    </xf>
    <xf numFmtId="0" fontId="32" fillId="0" borderId="94" xfId="0" applyFont="1" applyBorder="1" applyAlignment="1" applyProtection="1">
      <alignment horizontal="left"/>
    </xf>
    <xf numFmtId="0" fontId="32" fillId="0" borderId="63" xfId="0" applyFont="1" applyBorder="1" applyAlignment="1" applyProtection="1"/>
    <xf numFmtId="0" fontId="32" fillId="0" borderId="79" xfId="0" applyFont="1" applyBorder="1" applyAlignment="1" applyProtection="1"/>
    <xf numFmtId="0" fontId="26" fillId="0" borderId="72" xfId="0" applyFont="1" applyBorder="1"/>
    <xf numFmtId="0" fontId="26" fillId="0" borderId="0" xfId="0" applyFont="1" applyBorder="1"/>
    <xf numFmtId="0" fontId="26" fillId="0" borderId="81" xfId="0" applyFont="1" applyBorder="1"/>
    <xf numFmtId="0" fontId="28" fillId="0" borderId="182" xfId="0" applyFont="1" applyBorder="1" applyAlignment="1" applyProtection="1">
      <alignment vertical="top"/>
    </xf>
    <xf numFmtId="0" fontId="32" fillId="0" borderId="67" xfId="0" applyFont="1" applyBorder="1" applyAlignment="1" applyProtection="1">
      <alignment horizontal="left"/>
    </xf>
    <xf numFmtId="0" fontId="32" fillId="0" borderId="68" xfId="0" applyFont="1" applyBorder="1" applyAlignment="1" applyProtection="1">
      <alignment horizontal="left"/>
    </xf>
    <xf numFmtId="177" fontId="32" fillId="0" borderId="67" xfId="0" applyNumberFormat="1" applyFont="1" applyBorder="1" applyAlignment="1" applyProtection="1">
      <protection locked="0"/>
    </xf>
    <xf numFmtId="177" fontId="32" fillId="0" borderId="76" xfId="0" applyNumberFormat="1" applyFont="1" applyBorder="1" applyAlignment="1" applyProtection="1">
      <protection locked="0"/>
    </xf>
    <xf numFmtId="2" fontId="32" fillId="0" borderId="67" xfId="0" applyNumberFormat="1" applyFont="1" applyBorder="1" applyAlignment="1" applyProtection="1"/>
    <xf numFmtId="2" fontId="32" fillId="0" borderId="76" xfId="0" applyNumberFormat="1" applyFont="1" applyBorder="1" applyAlignment="1" applyProtection="1"/>
    <xf numFmtId="0" fontId="32" fillId="0" borderId="0" xfId="0" applyFont="1" applyBorder="1" applyAlignment="1" applyProtection="1">
      <alignment horizontal="left"/>
    </xf>
    <xf numFmtId="0" fontId="32" fillId="0" borderId="81" xfId="0" applyFont="1" applyBorder="1" applyAlignment="1" applyProtection="1">
      <alignment horizontal="left"/>
    </xf>
    <xf numFmtId="0" fontId="32" fillId="0" borderId="0" xfId="0" applyFont="1" applyBorder="1" applyAlignment="1" applyProtection="1">
      <alignment horizontal="center"/>
    </xf>
    <xf numFmtId="0" fontId="32" fillId="0" borderId="81" xfId="0" applyFont="1" applyBorder="1" applyAlignment="1" applyProtection="1">
      <alignment horizontal="center"/>
    </xf>
    <xf numFmtId="2" fontId="32" fillId="0" borderId="67" xfId="0" applyNumberFormat="1" applyFont="1" applyBorder="1" applyAlignment="1" applyProtection="1">
      <protection locked="0"/>
    </xf>
    <xf numFmtId="2" fontId="32" fillId="0" borderId="76" xfId="0" applyNumberFormat="1" applyFont="1" applyBorder="1" applyAlignment="1" applyProtection="1">
      <protection locked="0"/>
    </xf>
    <xf numFmtId="0" fontId="22" fillId="0" borderId="0" xfId="0" applyFont="1" applyBorder="1" applyAlignment="1" applyProtection="1">
      <alignment horizontal="left" vertical="center"/>
    </xf>
    <xf numFmtId="0" fontId="22" fillId="0" borderId="16" xfId="0" applyFont="1" applyBorder="1" applyAlignment="1" applyProtection="1">
      <alignment horizontal="left" vertical="center"/>
    </xf>
    <xf numFmtId="0" fontId="32" fillId="0" borderId="16" xfId="0" applyFont="1" applyBorder="1" applyAlignment="1" applyProtection="1">
      <alignment horizontal="left"/>
    </xf>
    <xf numFmtId="0" fontId="32" fillId="0" borderId="0" xfId="0" applyFont="1" applyBorder="1" applyAlignment="1" applyProtection="1">
      <alignment horizontal="left"/>
      <protection locked="0"/>
    </xf>
    <xf numFmtId="0" fontId="32" fillId="0" borderId="81" xfId="0" applyFont="1" applyBorder="1" applyAlignment="1" applyProtection="1">
      <alignment horizontal="left"/>
      <protection locked="0"/>
    </xf>
    <xf numFmtId="2" fontId="32" fillId="0" borderId="78" xfId="0" applyNumberFormat="1" applyFont="1" applyBorder="1" applyAlignment="1" applyProtection="1">
      <alignment horizontal="center"/>
      <protection locked="0"/>
    </xf>
    <xf numFmtId="176" fontId="32" fillId="0" borderId="0" xfId="0" applyNumberFormat="1" applyFont="1" applyBorder="1" applyAlignment="1" applyProtection="1">
      <alignment horizontal="center"/>
    </xf>
    <xf numFmtId="2" fontId="32" fillId="0" borderId="0" xfId="0" applyNumberFormat="1" applyFont="1" applyBorder="1" applyAlignment="1" applyProtection="1">
      <alignment horizontal="center"/>
    </xf>
    <xf numFmtId="0" fontId="0" fillId="0" borderId="133" xfId="0" applyBorder="1" applyAlignment="1" applyProtection="1">
      <alignment horizontal="center" vertical="center"/>
    </xf>
    <xf numFmtId="0" fontId="0" fillId="0" borderId="138" xfId="0" applyFont="1" applyBorder="1" applyAlignment="1" applyProtection="1">
      <alignment horizontal="center" vertical="center"/>
    </xf>
    <xf numFmtId="0" fontId="22" fillId="0" borderId="149" xfId="0" applyFont="1" applyBorder="1" applyAlignment="1" applyProtection="1">
      <alignment horizontal="center" vertical="center"/>
    </xf>
    <xf numFmtId="0" fontId="22" fillId="0" borderId="150" xfId="0" applyFont="1" applyBorder="1" applyAlignment="1" applyProtection="1">
      <alignment horizontal="center" vertical="center"/>
    </xf>
    <xf numFmtId="0" fontId="41" fillId="0" borderId="177" xfId="0" applyFont="1" applyBorder="1" applyAlignment="1">
      <alignment horizontal="center"/>
    </xf>
    <xf numFmtId="0" fontId="41" fillId="0" borderId="178" xfId="0" applyFont="1" applyBorder="1" applyAlignment="1">
      <alignment horizontal="center"/>
    </xf>
    <xf numFmtId="0" fontId="41" fillId="0" borderId="179" xfId="0" applyFont="1" applyBorder="1" applyAlignment="1">
      <alignment horizontal="center"/>
    </xf>
    <xf numFmtId="0" fontId="41" fillId="0" borderId="180" xfId="0" applyFont="1" applyBorder="1" applyAlignment="1" applyProtection="1">
      <alignment horizontal="center"/>
    </xf>
    <xf numFmtId="0" fontId="41" fillId="0" borderId="178" xfId="0" applyFont="1" applyBorder="1" applyAlignment="1" applyProtection="1">
      <alignment horizontal="center"/>
    </xf>
    <xf numFmtId="0" fontId="41" fillId="0" borderId="179" xfId="0" applyFont="1" applyBorder="1" applyAlignment="1" applyProtection="1">
      <alignment horizontal="center"/>
    </xf>
    <xf numFmtId="0" fontId="41" fillId="0" borderId="181" xfId="0" applyFont="1" applyBorder="1" applyAlignment="1" applyProtection="1">
      <alignment horizontal="center"/>
    </xf>
    <xf numFmtId="0" fontId="22" fillId="0" borderId="15" xfId="0" applyFont="1" applyBorder="1" applyAlignment="1" applyProtection="1">
      <alignment horizontal="center" vertical="center"/>
    </xf>
    <xf numFmtId="0" fontId="22" fillId="0" borderId="176" xfId="0" applyFont="1" applyBorder="1" applyAlignment="1" applyProtection="1">
      <alignment horizontal="center" vertical="center"/>
    </xf>
    <xf numFmtId="0" fontId="32" fillId="0" borderId="15" xfId="0" applyFont="1" applyBorder="1" applyAlignment="1" applyProtection="1">
      <alignment horizontal="center"/>
    </xf>
    <xf numFmtId="0" fontId="32" fillId="0" borderId="66" xfId="0" applyFont="1" applyBorder="1" applyAlignment="1" applyProtection="1">
      <alignment horizontal="center"/>
    </xf>
    <xf numFmtId="0" fontId="0" fillId="0" borderId="0" xfId="0" applyBorder="1" applyAlignment="1" applyProtection="1">
      <alignment horizontal="left" vertical="center"/>
    </xf>
    <xf numFmtId="0" fontId="0" fillId="0" borderId="16"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0" xfId="0" applyBorder="1" applyAlignment="1" applyProtection="1">
      <alignment horizontal="left"/>
    </xf>
    <xf numFmtId="0" fontId="0" fillId="0" borderId="15" xfId="0" applyBorder="1" applyAlignment="1" applyProtection="1">
      <alignment horizontal="left" vertical="center"/>
    </xf>
    <xf numFmtId="0" fontId="0" fillId="0" borderId="15" xfId="0" applyFont="1" applyBorder="1" applyAlignment="1" applyProtection="1">
      <alignment horizontal="left" vertical="center"/>
    </xf>
    <xf numFmtId="0" fontId="0" fillId="0" borderId="176" xfId="0" applyFont="1" applyBorder="1" applyAlignment="1" applyProtection="1">
      <alignment horizontal="left" vertical="center"/>
    </xf>
    <xf numFmtId="0" fontId="0" fillId="0" borderId="67" xfId="0" applyFont="1" applyBorder="1" applyAlignment="1" applyProtection="1">
      <alignment horizontal="left" vertical="center"/>
    </xf>
    <xf numFmtId="0" fontId="0" fillId="0" borderId="68" xfId="0" applyFont="1" applyBorder="1" applyAlignment="1" applyProtection="1">
      <alignment horizontal="left" vertical="center"/>
    </xf>
    <xf numFmtId="0" fontId="28" fillId="0" borderId="50" xfId="0" applyFont="1" applyBorder="1" applyAlignment="1" applyProtection="1">
      <alignment horizontal="left" vertical="center"/>
    </xf>
    <xf numFmtId="4" fontId="22" fillId="0" borderId="0" xfId="0" applyNumberFormat="1" applyFont="1" applyBorder="1" applyAlignment="1" applyProtection="1">
      <alignment horizontal="left"/>
      <protection locked="0"/>
    </xf>
    <xf numFmtId="0" fontId="22" fillId="0" borderId="0" xfId="0" applyFont="1"/>
    <xf numFmtId="0" fontId="0" fillId="0" borderId="10" xfId="0" applyBorder="1" applyAlignment="1" applyProtection="1">
      <alignment horizontal="left"/>
    </xf>
    <xf numFmtId="0" fontId="22" fillId="0" borderId="0" xfId="0" applyFont="1" applyBorder="1" applyAlignment="1" applyProtection="1">
      <alignment horizontal="left"/>
      <protection locked="0"/>
    </xf>
    <xf numFmtId="0" fontId="22" fillId="0" borderId="11" xfId="0" applyFont="1" applyBorder="1" applyAlignment="1" applyProtection="1">
      <alignment horizontal="left"/>
      <protection locked="0"/>
    </xf>
    <xf numFmtId="0" fontId="0" fillId="0" borderId="96" xfId="0" applyBorder="1" applyAlignment="1" applyProtection="1">
      <alignment horizontal="left"/>
    </xf>
    <xf numFmtId="0" fontId="22" fillId="0" borderId="20" xfId="0" applyFont="1" applyBorder="1" applyAlignment="1" applyProtection="1">
      <alignment horizontal="left"/>
      <protection locked="0"/>
    </xf>
    <xf numFmtId="0" fontId="22" fillId="0" borderId="0" xfId="0" applyFont="1" applyFill="1" applyBorder="1" applyAlignment="1" applyProtection="1">
      <alignment horizontal="center"/>
      <protection locked="0"/>
    </xf>
    <xf numFmtId="4" fontId="22" fillId="0" borderId="81" xfId="0" applyNumberFormat="1" applyFont="1" applyBorder="1" applyAlignment="1" applyProtection="1">
      <alignment horizontal="left"/>
      <protection locked="0"/>
    </xf>
    <xf numFmtId="0" fontId="0" fillId="0" borderId="69" xfId="0" applyFont="1" applyBorder="1" applyAlignment="1" applyProtection="1">
      <alignment horizontal="left"/>
    </xf>
    <xf numFmtId="0" fontId="0" fillId="0" borderId="17" xfId="0" applyFont="1" applyBorder="1" applyAlignment="1" applyProtection="1">
      <alignment horizontal="left"/>
    </xf>
    <xf numFmtId="0" fontId="22" fillId="0" borderId="66" xfId="0" applyFont="1" applyBorder="1" applyAlignment="1" applyProtection="1">
      <alignment horizontal="left" vertical="center"/>
    </xf>
    <xf numFmtId="0" fontId="0" fillId="0" borderId="19" xfId="0" applyFont="1" applyBorder="1" applyAlignment="1" applyProtection="1">
      <alignment horizontal="left"/>
    </xf>
    <xf numFmtId="0" fontId="22" fillId="0" borderId="0" xfId="0" applyFont="1" applyFill="1" applyBorder="1" applyAlignment="1" applyProtection="1">
      <alignment horizontal="center" vertical="top"/>
    </xf>
    <xf numFmtId="0" fontId="22" fillId="0" borderId="12" xfId="0" applyFont="1" applyFill="1" applyBorder="1" applyAlignment="1" applyProtection="1">
      <alignment horizontal="center" vertical="center"/>
    </xf>
    <xf numFmtId="0" fontId="0" fillId="0" borderId="172" xfId="0" applyFont="1" applyBorder="1" applyAlignment="1" applyProtection="1">
      <alignment horizontal="center" vertical="top"/>
    </xf>
    <xf numFmtId="0" fontId="0" fillId="0" borderId="139" xfId="0" applyFont="1" applyBorder="1" applyAlignment="1" applyProtection="1">
      <alignment horizontal="center" vertical="top"/>
    </xf>
    <xf numFmtId="0" fontId="27" fillId="0" borderId="140" xfId="0" applyFont="1" applyBorder="1" applyAlignment="1" applyProtection="1">
      <alignment horizontal="center" vertical="top" wrapText="1"/>
    </xf>
    <xf numFmtId="0" fontId="26" fillId="0" borderId="141" xfId="0" applyFont="1" applyBorder="1" applyAlignment="1" applyProtection="1">
      <alignment horizontal="center" vertical="top"/>
    </xf>
    <xf numFmtId="0" fontId="26" fillId="0" borderId="173" xfId="0" applyFont="1" applyBorder="1" applyAlignment="1" applyProtection="1">
      <alignment horizontal="center" vertical="top"/>
    </xf>
    <xf numFmtId="0" fontId="22" fillId="0" borderId="174" xfId="0" applyFont="1" applyBorder="1" applyAlignment="1" applyProtection="1">
      <alignment horizontal="center" vertical="center"/>
    </xf>
    <xf numFmtId="0" fontId="22" fillId="0" borderId="175" xfId="0" applyFont="1" applyBorder="1" applyAlignment="1" applyProtection="1">
      <alignment horizontal="center" vertical="center"/>
    </xf>
    <xf numFmtId="0" fontId="31" fillId="0" borderId="67" xfId="0" applyFont="1" applyFill="1" applyBorder="1" applyAlignment="1">
      <alignment vertical="center" wrapText="1"/>
    </xf>
    <xf numFmtId="0" fontId="31" fillId="0" borderId="68" xfId="0" applyFont="1" applyFill="1" applyBorder="1" applyAlignment="1">
      <alignment vertical="center" wrapText="1"/>
    </xf>
    <xf numFmtId="0" fontId="55" fillId="0" borderId="96" xfId="0" applyFont="1" applyFill="1" applyBorder="1" applyAlignment="1">
      <alignment horizontal="center" vertical="top" wrapText="1"/>
    </xf>
    <xf numFmtId="0" fontId="55" fillId="0" borderId="73" xfId="0" applyFont="1" applyFill="1" applyBorder="1" applyAlignment="1">
      <alignment horizontal="center" vertical="top" wrapText="1"/>
    </xf>
    <xf numFmtId="0" fontId="32" fillId="0" borderId="96" xfId="0" applyFont="1" applyBorder="1" applyAlignment="1">
      <alignment horizontal="center" vertical="center"/>
    </xf>
    <xf numFmtId="0" fontId="32" fillId="0" borderId="73" xfId="0" applyFont="1" applyBorder="1" applyAlignment="1">
      <alignment horizontal="center" vertical="center"/>
    </xf>
    <xf numFmtId="0" fontId="68" fillId="24" borderId="67" xfId="0" applyFont="1" applyFill="1" applyBorder="1" applyAlignment="1">
      <alignment horizontal="center" vertical="top" wrapText="1"/>
    </xf>
    <xf numFmtId="0" fontId="68" fillId="24" borderId="68" xfId="0" applyFont="1" applyFill="1" applyBorder="1" applyAlignment="1">
      <alignment horizontal="center" vertical="top" wrapText="1"/>
    </xf>
    <xf numFmtId="0" fontId="52" fillId="24" borderId="93" xfId="0" applyFont="1" applyFill="1" applyBorder="1" applyAlignment="1">
      <alignment vertical="top" wrapText="1"/>
    </xf>
    <xf numFmtId="0" fontId="52" fillId="24" borderId="95" xfId="0" applyFont="1" applyFill="1" applyBorder="1" applyAlignment="1">
      <alignment vertical="top" wrapText="1"/>
    </xf>
    <xf numFmtId="0" fontId="32" fillId="0" borderId="96" xfId="0" applyFont="1" applyFill="1" applyBorder="1" applyAlignment="1">
      <alignment horizontal="center"/>
    </xf>
    <xf numFmtId="0" fontId="32" fillId="0" borderId="73" xfId="0" applyFont="1" applyFill="1" applyBorder="1" applyAlignment="1">
      <alignment horizontal="center"/>
    </xf>
    <xf numFmtId="0" fontId="32" fillId="0" borderId="96" xfId="0" applyFont="1" applyFill="1" applyBorder="1" applyAlignment="1" applyProtection="1">
      <alignment horizontal="center" vertical="center"/>
    </xf>
    <xf numFmtId="0" fontId="32" fillId="0" borderId="73" xfId="0" applyFont="1" applyFill="1" applyBorder="1" applyAlignment="1" applyProtection="1">
      <alignment horizontal="center" vertical="center"/>
    </xf>
    <xf numFmtId="0" fontId="32" fillId="0" borderId="96" xfId="0" applyFont="1" applyFill="1" applyBorder="1" applyAlignment="1">
      <alignment horizontal="center" vertical="center"/>
    </xf>
    <xf numFmtId="0" fontId="32" fillId="0" borderId="73" xfId="0" applyFont="1" applyFill="1" applyBorder="1" applyAlignment="1">
      <alignment horizontal="center" vertical="center"/>
    </xf>
    <xf numFmtId="0" fontId="0" fillId="0" borderId="96"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52" fillId="0" borderId="97" xfId="0" applyFont="1" applyFill="1" applyBorder="1" applyAlignment="1">
      <alignment horizontal="center" vertical="top"/>
    </xf>
    <xf numFmtId="0" fontId="52" fillId="0" borderId="98" xfId="0" applyFont="1" applyFill="1" applyBorder="1" applyAlignment="1">
      <alignment horizontal="center" vertical="top"/>
    </xf>
    <xf numFmtId="0" fontId="52" fillId="24" borderId="93" xfId="0" applyFont="1" applyFill="1" applyBorder="1" applyAlignment="1">
      <alignment horizontal="center" vertical="top" wrapText="1"/>
    </xf>
    <xf numFmtId="0" fontId="52" fillId="24" borderId="95" xfId="0" applyFont="1" applyFill="1" applyBorder="1" applyAlignment="1">
      <alignment horizontal="center" vertical="top" wrapText="1"/>
    </xf>
    <xf numFmtId="0" fontId="0" fillId="0" borderId="184" xfId="0" applyBorder="1" applyAlignment="1" applyProtection="1">
      <alignment horizontal="left" vertical="top"/>
    </xf>
    <xf numFmtId="0" fontId="0" fillId="0" borderId="184" xfId="0" applyFont="1" applyBorder="1" applyAlignment="1" applyProtection="1">
      <alignment horizontal="left" vertical="top"/>
    </xf>
    <xf numFmtId="0" fontId="22" fillId="0" borderId="185" xfId="0" applyFont="1" applyBorder="1" applyAlignment="1" applyProtection="1">
      <alignment horizontal="center" vertical="center"/>
    </xf>
    <xf numFmtId="0" fontId="0" fillId="0" borderId="186" xfId="0" applyFont="1" applyBorder="1" applyAlignment="1" applyProtection="1">
      <alignment horizontal="center" vertical="top"/>
    </xf>
    <xf numFmtId="0" fontId="52" fillId="0" borderId="63" xfId="0" applyFont="1" applyFill="1" applyBorder="1" applyAlignment="1">
      <alignment horizontal="center" vertical="center" wrapText="1"/>
    </xf>
    <xf numFmtId="0" fontId="52" fillId="0" borderId="78" xfId="0" applyFont="1" applyFill="1" applyBorder="1" applyAlignment="1">
      <alignment horizontal="center" vertical="center" wrapText="1"/>
    </xf>
    <xf numFmtId="0" fontId="52" fillId="0" borderId="94" xfId="0" applyFont="1" applyFill="1" applyBorder="1" applyAlignment="1">
      <alignment horizontal="center" vertical="center" wrapText="1"/>
    </xf>
    <xf numFmtId="0" fontId="52" fillId="0" borderId="96"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73" xfId="0" applyFont="1" applyFill="1" applyBorder="1" applyAlignment="1">
      <alignment horizontal="center" vertical="center" wrapText="1"/>
    </xf>
    <xf numFmtId="0" fontId="52" fillId="0" borderId="97" xfId="0" applyFont="1" applyFill="1" applyBorder="1" applyAlignment="1">
      <alignment horizontal="center" vertical="center" wrapText="1"/>
    </xf>
    <xf numFmtId="0" fontId="52" fillId="0" borderId="83" xfId="0" applyFont="1" applyFill="1" applyBorder="1" applyAlignment="1">
      <alignment horizontal="center" vertical="center" wrapText="1"/>
    </xf>
    <xf numFmtId="0" fontId="52" fillId="0" borderId="98" xfId="0" applyFont="1" applyFill="1" applyBorder="1" applyAlignment="1">
      <alignment horizontal="center" vertical="center" wrapText="1"/>
    </xf>
    <xf numFmtId="0" fontId="53" fillId="0" borderId="63" xfId="0" applyFont="1" applyFill="1" applyBorder="1" applyAlignment="1">
      <alignment horizontal="center" vertical="top"/>
    </xf>
    <xf numFmtId="0" fontId="53" fillId="0" borderId="94" xfId="0" applyFont="1" applyFill="1" applyBorder="1" applyAlignment="1">
      <alignment horizontal="center" vertical="top"/>
    </xf>
    <xf numFmtId="0" fontId="0" fillId="0" borderId="63" xfId="0" applyFont="1" applyFill="1" applyBorder="1" applyAlignment="1" applyProtection="1">
      <alignment horizontal="center" vertical="top"/>
    </xf>
    <xf numFmtId="0" fontId="0" fillId="0" borderId="94" xfId="0" applyFont="1" applyFill="1" applyBorder="1" applyAlignment="1" applyProtection="1">
      <alignment horizontal="center" vertical="top"/>
    </xf>
    <xf numFmtId="0" fontId="32" fillId="0" borderId="63" xfId="0" applyFont="1" applyBorder="1" applyAlignment="1">
      <alignment horizontal="center" vertical="center"/>
    </xf>
    <xf numFmtId="0" fontId="32" fillId="0" borderId="94" xfId="0" applyFont="1" applyBorder="1" applyAlignment="1">
      <alignment horizontal="center" vertical="center"/>
    </xf>
    <xf numFmtId="0" fontId="52" fillId="0" borderId="96" xfId="0" applyFont="1" applyFill="1" applyBorder="1" applyAlignment="1">
      <alignment horizontal="center" vertical="top" wrapText="1"/>
    </xf>
    <xf numFmtId="0" fontId="52" fillId="0" borderId="73" xfId="0" applyFont="1" applyFill="1" applyBorder="1" applyAlignment="1">
      <alignment horizontal="center" vertical="top" wrapText="1"/>
    </xf>
    <xf numFmtId="0" fontId="39" fillId="0" borderId="0" xfId="0" applyFont="1" applyBorder="1" applyAlignment="1">
      <alignment horizontal="center"/>
    </xf>
    <xf numFmtId="0" fontId="39" fillId="0" borderId="0" xfId="0" applyFont="1" applyBorder="1" applyAlignment="1">
      <alignment horizontal="left"/>
    </xf>
    <xf numFmtId="0" fontId="39" fillId="0" borderId="0" xfId="0" applyFont="1" applyBorder="1" applyAlignment="1">
      <alignment horizontal="center" vertical="center"/>
    </xf>
    <xf numFmtId="0" fontId="39" fillId="0" borderId="0" xfId="0" applyFont="1" applyBorder="1" applyAlignment="1">
      <alignment horizontal="center" vertical="top"/>
    </xf>
    <xf numFmtId="0" fontId="39" fillId="0" borderId="0" xfId="0" applyFont="1" applyBorder="1" applyAlignment="1">
      <alignment horizontal="left" vertical="center"/>
    </xf>
    <xf numFmtId="4" fontId="40" fillId="0" borderId="0" xfId="0" applyNumberFormat="1" applyFont="1" applyBorder="1" applyAlignment="1" applyProtection="1">
      <alignment horizontal="center"/>
      <protection locked="0"/>
    </xf>
    <xf numFmtId="0" fontId="40" fillId="0" borderId="0" xfId="0" applyFont="1" applyBorder="1" applyAlignment="1">
      <alignment horizontal="left" vertical="center"/>
    </xf>
    <xf numFmtId="0" fontId="40" fillId="0" borderId="0" xfId="0" applyFont="1" applyBorder="1" applyAlignment="1">
      <alignment horizontal="left"/>
    </xf>
    <xf numFmtId="0" fontId="40" fillId="0" borderId="0" xfId="42" applyFont="1" applyBorder="1" applyAlignment="1" applyProtection="1">
      <alignment horizontal="center" vertical="center"/>
    </xf>
    <xf numFmtId="4" fontId="40" fillId="0" borderId="0" xfId="0" applyNumberFormat="1" applyFont="1" applyBorder="1" applyAlignment="1" applyProtection="1">
      <alignment horizontal="left"/>
      <protection locked="0"/>
    </xf>
    <xf numFmtId="0" fontId="41" fillId="23" borderId="62" xfId="45" applyFont="1" applyFill="1" applyBorder="1" applyAlignment="1">
      <alignment horizontal="left" vertical="center" wrapText="1"/>
    </xf>
    <xf numFmtId="0" fontId="22" fillId="0" borderId="0" xfId="42" applyFont="1" applyFill="1" applyAlignment="1">
      <alignment horizontal="center" vertical="center"/>
    </xf>
    <xf numFmtId="0" fontId="41" fillId="0" borderId="54" xfId="45" applyFont="1" applyFill="1" applyBorder="1" applyAlignment="1">
      <alignment horizontal="left" vertical="center" wrapText="1"/>
    </xf>
    <xf numFmtId="0" fontId="41" fillId="23" borderId="59" xfId="45" applyFont="1" applyFill="1" applyBorder="1" applyAlignment="1">
      <alignment horizontal="left" vertical="center" wrapText="1"/>
    </xf>
    <xf numFmtId="0" fontId="41" fillId="23" borderId="55" xfId="45" applyFont="1" applyFill="1" applyBorder="1" applyAlignment="1">
      <alignment horizontal="left" vertical="center" wrapText="1"/>
    </xf>
    <xf numFmtId="1" fontId="41" fillId="0" borderId="59" xfId="45" applyNumberFormat="1" applyFont="1" applyFill="1" applyBorder="1" applyAlignment="1">
      <alignment horizontal="left" vertical="center"/>
    </xf>
    <xf numFmtId="1" fontId="41" fillId="0" borderId="55" xfId="45" applyNumberFormat="1" applyFont="1" applyFill="1" applyBorder="1" applyAlignment="1">
      <alignment horizontal="left" vertical="center"/>
    </xf>
    <xf numFmtId="0" fontId="41" fillId="0" borderId="59" xfId="45" applyFont="1" applyFill="1" applyBorder="1" applyAlignment="1">
      <alignment horizontal="left" vertical="center" wrapText="1"/>
    </xf>
    <xf numFmtId="0" fontId="41" fillId="0" borderId="57" xfId="45" applyFont="1" applyFill="1" applyBorder="1" applyAlignment="1">
      <alignment horizontal="left" vertical="center" wrapText="1"/>
    </xf>
    <xf numFmtId="0" fontId="41" fillId="0" borderId="55" xfId="45" applyFont="1" applyFill="1" applyBorder="1" applyAlignment="1">
      <alignment horizontal="left" vertical="center" wrapText="1"/>
    </xf>
    <xf numFmtId="4" fontId="47" fillId="0" borderId="0" xfId="42" applyNumberFormat="1" applyFont="1" applyFill="1" applyAlignment="1">
      <alignment horizontal="center"/>
    </xf>
    <xf numFmtId="0" fontId="22" fillId="0" borderId="0" xfId="42" applyFont="1" applyFill="1" applyAlignment="1">
      <alignment horizontal="center"/>
    </xf>
    <xf numFmtId="0" fontId="41" fillId="0" borderId="0" xfId="42" applyFont="1" applyFill="1" applyBorder="1" applyAlignment="1">
      <alignment horizontal="center" vertical="center"/>
    </xf>
    <xf numFmtId="0" fontId="41" fillId="23" borderId="187" xfId="45" applyFont="1" applyFill="1" applyBorder="1" applyAlignment="1">
      <alignment horizontal="left" vertical="center" wrapText="1"/>
    </xf>
    <xf numFmtId="0" fontId="41" fillId="23" borderId="188" xfId="45" applyFont="1" applyFill="1" applyBorder="1" applyAlignment="1">
      <alignment horizontal="left" vertical="center" wrapText="1"/>
    </xf>
    <xf numFmtId="0" fontId="41" fillId="0" borderId="47" xfId="45" applyFont="1" applyFill="1" applyBorder="1" applyAlignment="1">
      <alignment horizontal="left" vertical="center" wrapText="1"/>
    </xf>
    <xf numFmtId="0" fontId="41" fillId="22" borderId="48" xfId="45" applyFont="1" applyFill="1" applyBorder="1" applyAlignment="1">
      <alignment horizontal="left" vertical="center" wrapText="1"/>
    </xf>
  </cellXfs>
  <cellStyles count="6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0]" xfId="28"/>
    <cellStyle name="Currency [0]" xfId="29"/>
    <cellStyle name="Excel Built-in Normal" xfId="30"/>
    <cellStyle name="Explanatory Text" xfId="31"/>
    <cellStyle name="Good" xfId="32"/>
    <cellStyle name="Heading 1" xfId="33"/>
    <cellStyle name="Heading 2" xfId="34"/>
    <cellStyle name="Heading 3" xfId="35"/>
    <cellStyle name="Heading 4" xfId="36"/>
    <cellStyle name="Hiperlink" xfId="37" builtinId="8"/>
    <cellStyle name="Hiperlink 2" xfId="38"/>
    <cellStyle name="Input" xfId="39"/>
    <cellStyle name="Linked Cell" xfId="40"/>
    <cellStyle name="Neutral" xfId="41"/>
    <cellStyle name="Normal" xfId="0" builtinId="0"/>
    <cellStyle name="Normal 2" xfId="42"/>
    <cellStyle name="Normal 2 2" xfId="43"/>
    <cellStyle name="Normal_AnáliseQAmbPJMarabá_Blocos 3º pav" xfId="44"/>
    <cellStyle name="Normal_AnáliseQAmbPJMarabá_Serviços" xfId="45"/>
    <cellStyle name="Normal_Blocos 3º pav" xfId="46"/>
    <cellStyle name="Normal_Serviços" xfId="47"/>
    <cellStyle name="Note" xfId="48"/>
    <cellStyle name="Output" xfId="49"/>
    <cellStyle name="Porcentagem 2" xfId="50"/>
    <cellStyle name="Porcentagem 2 2" xfId="51"/>
    <cellStyle name="Sem título1" xfId="52"/>
    <cellStyle name="Sem título2" xfId="53"/>
    <cellStyle name="Sem título3" xfId="54"/>
    <cellStyle name="Sem título4" xfId="55"/>
    <cellStyle name="Sem título5" xfId="56"/>
    <cellStyle name="Sem título6" xfId="57"/>
    <cellStyle name="Sem título7" xfId="58"/>
    <cellStyle name="Separador de milhares 2" xfId="59"/>
    <cellStyle name="Title" xfId="60"/>
    <cellStyle name="Título 1 1" xfId="61"/>
    <cellStyle name="Vírgula" xfId="62" builtinId="3"/>
    <cellStyle name="Vírgula 2" xfId="63"/>
    <cellStyle name="Warning Text" xfId="64"/>
  </cellStyles>
  <dxfs count="24">
    <dxf>
      <font>
        <b val="0"/>
        <condense val="0"/>
        <extend val="0"/>
        <color indexed="10"/>
      </font>
    </dxf>
    <dxf>
      <font>
        <b val="0"/>
        <condense val="0"/>
        <extend val="0"/>
        <color indexed="17"/>
      </font>
    </dxf>
    <dxf>
      <font>
        <b/>
        <i val="0"/>
        <condense val="0"/>
        <extend val="0"/>
        <color indexed="8"/>
      </font>
    </dxf>
    <dxf>
      <font>
        <b/>
        <i val="0"/>
        <condense val="0"/>
        <extend val="0"/>
        <color indexed="10"/>
      </font>
    </dxf>
    <dxf>
      <font>
        <b val="0"/>
        <condense val="0"/>
        <extend val="0"/>
        <color indexed="8"/>
      </font>
      <fill>
        <patternFill patternType="solid">
          <fgColor indexed="58"/>
          <bgColor indexed="8"/>
        </patternFill>
      </fill>
    </dxf>
    <dxf>
      <font>
        <b val="0"/>
        <condense val="0"/>
        <extend val="0"/>
        <color indexed="8"/>
      </font>
      <fill>
        <patternFill patternType="solid">
          <fgColor indexed="58"/>
          <bgColor indexed="8"/>
        </patternFill>
      </fill>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8"/>
      </font>
    </dxf>
    <dxf>
      <font>
        <b/>
        <i val="0"/>
        <condense val="0"/>
        <extend val="0"/>
        <color indexed="10"/>
      </font>
    </dxf>
    <dxf>
      <font>
        <b/>
        <i val="0"/>
        <condense val="0"/>
        <extend val="0"/>
        <color indexed="8"/>
      </font>
    </dxf>
    <dxf>
      <font>
        <b/>
        <i val="0"/>
        <condense val="0"/>
        <extend val="0"/>
        <color indexed="10"/>
      </font>
    </dxf>
    <dxf>
      <font>
        <b val="0"/>
        <condense val="0"/>
        <extend val="0"/>
        <color indexed="9"/>
      </font>
    </dxf>
    <dxf>
      <font>
        <b/>
        <i val="0"/>
        <condense val="0"/>
        <extend val="0"/>
        <color indexed="8"/>
      </font>
    </dxf>
    <dxf>
      <font>
        <b/>
        <i val="0"/>
        <condense val="0"/>
        <extend val="0"/>
        <color indexed="10"/>
      </font>
    </dxf>
    <dxf>
      <font>
        <b/>
        <i val="0"/>
        <condense val="0"/>
        <extend val="0"/>
        <color indexed="8"/>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0C0C0"/>
      <rgbColor rgb="00808080"/>
      <rgbColor rgb="009999FF"/>
      <rgbColor rgb="00993366"/>
      <rgbColor rgb="00F2F2F2"/>
      <rgbColor rgb="00CCFFFF"/>
      <rgbColor rgb="00660066"/>
      <rgbColor rgb="00FF8080"/>
      <rgbColor rgb="000080C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190500</xdr:colOff>
      <xdr:row>0</xdr:row>
      <xdr:rowOff>38100</xdr:rowOff>
    </xdr:from>
    <xdr:to>
      <xdr:col>6</xdr:col>
      <xdr:colOff>180975</xdr:colOff>
      <xdr:row>2</xdr:row>
      <xdr:rowOff>247650</xdr:rowOff>
    </xdr:to>
    <xdr:pic>
      <xdr:nvPicPr>
        <xdr:cNvPr id="22607"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38100"/>
          <a:ext cx="7334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104775</xdr:colOff>
          <xdr:row>49</xdr:row>
          <xdr:rowOff>152400</xdr:rowOff>
        </xdr:from>
        <xdr:to>
          <xdr:col>20</xdr:col>
          <xdr:colOff>171450</xdr:colOff>
          <xdr:row>51</xdr:row>
          <xdr:rowOff>180975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504825</xdr:colOff>
          <xdr:row>31</xdr:row>
          <xdr:rowOff>123825</xdr:rowOff>
        </xdr:from>
        <xdr:to>
          <xdr:col>4</xdr:col>
          <xdr:colOff>381000</xdr:colOff>
          <xdr:row>33</xdr:row>
          <xdr:rowOff>142875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123825</xdr:colOff>
      <xdr:row>0</xdr:row>
      <xdr:rowOff>28575</xdr:rowOff>
    </xdr:from>
    <xdr:to>
      <xdr:col>5</xdr:col>
      <xdr:colOff>104775</xdr:colOff>
      <xdr:row>1</xdr:row>
      <xdr:rowOff>95250</xdr:rowOff>
    </xdr:to>
    <xdr:pic>
      <xdr:nvPicPr>
        <xdr:cNvPr id="13681" name="Imagem 1" descr="Brasão Pará"/>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28575"/>
          <a:ext cx="219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19</xdr:col>
          <xdr:colOff>123825</xdr:colOff>
          <xdr:row>0</xdr:row>
          <xdr:rowOff>28575</xdr:rowOff>
        </xdr:from>
        <xdr:to>
          <xdr:col>20</xdr:col>
          <xdr:colOff>76200</xdr:colOff>
          <xdr:row>1</xdr:row>
          <xdr:rowOff>123825</xdr:rowOff>
        </xdr:to>
        <xdr:sp macro="" textlink="">
          <xdr:nvSpPr>
            <xdr:cNvPr id="13314" name="Object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180894</xdr:colOff>
      <xdr:row>5</xdr:row>
      <xdr:rowOff>2</xdr:rowOff>
    </xdr:from>
    <xdr:to>
      <xdr:col>15</xdr:col>
      <xdr:colOff>48875</xdr:colOff>
      <xdr:row>12</xdr:row>
      <xdr:rowOff>162619</xdr:rowOff>
    </xdr:to>
    <xdr:sp macro="" textlink="">
      <xdr:nvSpPr>
        <xdr:cNvPr id="24" name="CaixaDeTexto 23"/>
        <xdr:cNvSpPr txBox="1"/>
      </xdr:nvSpPr>
      <xdr:spPr>
        <a:xfrm>
          <a:off x="3435269" y="952502"/>
          <a:ext cx="356902"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T</a:t>
          </a:r>
        </a:p>
        <a:p>
          <a:pPr algn="ctr"/>
          <a:r>
            <a:rPr lang="pt-BR" sz="800">
              <a:latin typeface="Arial" pitchFamily="34" charset="0"/>
              <a:cs typeface="Arial" pitchFamily="34" charset="0"/>
            </a:rPr>
            <a:t>O</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A</a:t>
          </a:r>
        </a:p>
        <a:p>
          <a:pPr algn="ctr"/>
          <a:r>
            <a:rPr lang="pt-BR" sz="800">
              <a:latin typeface="Arial" pitchFamily="34" charset="0"/>
              <a:cs typeface="Arial" pitchFamily="34" charset="0"/>
            </a:rPr>
            <a:t>L</a:t>
          </a:r>
        </a:p>
        <a:p>
          <a:pPr algn="ctr"/>
          <a:endParaRPr lang="pt-BR" sz="800"/>
        </a:p>
        <a:p>
          <a:endParaRPr lang="pt-BR" sz="800"/>
        </a:p>
      </xdr:txBody>
    </xdr:sp>
    <xdr:clientData/>
  </xdr:twoCellAnchor>
  <xdr:twoCellAnchor>
    <xdr:from>
      <xdr:col>8</xdr:col>
      <xdr:colOff>174023</xdr:colOff>
      <xdr:row>5</xdr:row>
      <xdr:rowOff>1792</xdr:rowOff>
    </xdr:from>
    <xdr:to>
      <xdr:col>10</xdr:col>
      <xdr:colOff>40812</xdr:colOff>
      <xdr:row>12</xdr:row>
      <xdr:rowOff>167173</xdr:rowOff>
    </xdr:to>
    <xdr:sp macro="" textlink="">
      <xdr:nvSpPr>
        <xdr:cNvPr id="25" name="CaixaDeTexto 24"/>
        <xdr:cNvSpPr txBox="1"/>
      </xdr:nvSpPr>
      <xdr:spPr>
        <a:xfrm>
          <a:off x="2188878" y="960642"/>
          <a:ext cx="356902"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A</a:t>
          </a:r>
        </a:p>
        <a:p>
          <a:pPr algn="ctr"/>
          <a:r>
            <a:rPr lang="pt-BR" sz="800"/>
            <a:t>D</a:t>
          </a:r>
        </a:p>
        <a:p>
          <a:pPr algn="ctr"/>
          <a:r>
            <a:rPr lang="pt-BR" sz="800"/>
            <a:t>O</a:t>
          </a:r>
        </a:p>
        <a:p>
          <a:pPr algn="ctr"/>
          <a:r>
            <a:rPr lang="pt-BR" sz="800"/>
            <a:t>T</a:t>
          </a:r>
        </a:p>
        <a:p>
          <a:pPr algn="ctr"/>
          <a:r>
            <a:rPr lang="pt-BR" sz="800"/>
            <a:t>A</a:t>
          </a:r>
        </a:p>
        <a:p>
          <a:pPr algn="ctr"/>
          <a:r>
            <a:rPr lang="pt-BR" sz="800"/>
            <a:t>D</a:t>
          </a:r>
        </a:p>
        <a:p>
          <a:pPr algn="ctr"/>
          <a:r>
            <a:rPr lang="pt-BR" sz="800"/>
            <a:t>O</a:t>
          </a:r>
        </a:p>
        <a:p>
          <a:endParaRPr lang="pt-BR" sz="800"/>
        </a:p>
      </xdr:txBody>
    </xdr:sp>
    <xdr:clientData/>
  </xdr:twoCellAnchor>
  <xdr:twoCellAnchor>
    <xdr:from>
      <xdr:col>4</xdr:col>
      <xdr:colOff>4200</xdr:colOff>
      <xdr:row>5</xdr:row>
      <xdr:rowOff>1792</xdr:rowOff>
    </xdr:from>
    <xdr:to>
      <xdr:col>5</xdr:col>
      <xdr:colOff>8985</xdr:colOff>
      <xdr:row>12</xdr:row>
      <xdr:rowOff>167173</xdr:rowOff>
    </xdr:to>
    <xdr:sp macro="" textlink="">
      <xdr:nvSpPr>
        <xdr:cNvPr id="26" name="CaixaDeTexto 25"/>
        <xdr:cNvSpPr txBox="1"/>
      </xdr:nvSpPr>
      <xdr:spPr>
        <a:xfrm>
          <a:off x="1015755" y="960642"/>
          <a:ext cx="267351"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T</a:t>
          </a:r>
        </a:p>
        <a:p>
          <a:pPr algn="ctr"/>
          <a:r>
            <a:rPr lang="pt-BR" sz="800"/>
            <a:t>R</a:t>
          </a:r>
        </a:p>
        <a:p>
          <a:pPr algn="ctr"/>
          <a:r>
            <a:rPr lang="pt-BR" sz="800"/>
            <a:t>E</a:t>
          </a:r>
        </a:p>
        <a:p>
          <a:pPr algn="ctr"/>
          <a:r>
            <a:rPr lang="pt-BR" sz="800"/>
            <a:t>C</a:t>
          </a:r>
        </a:p>
        <a:p>
          <a:pPr algn="ctr"/>
          <a:r>
            <a:rPr lang="pt-BR" sz="800"/>
            <a:t>H</a:t>
          </a:r>
        </a:p>
        <a:p>
          <a:pPr algn="ctr"/>
          <a:r>
            <a:rPr lang="pt-BR" sz="800"/>
            <a:t>O</a:t>
          </a:r>
        </a:p>
        <a:p>
          <a:endParaRPr lang="pt-BR" sz="800"/>
        </a:p>
      </xdr:txBody>
    </xdr:sp>
    <xdr:clientData/>
  </xdr:twoCellAnchor>
  <xdr:twoCellAnchor>
    <xdr:from>
      <xdr:col>12</xdr:col>
      <xdr:colOff>8141</xdr:colOff>
      <xdr:row>5</xdr:row>
      <xdr:rowOff>1791</xdr:rowOff>
    </xdr:from>
    <xdr:to>
      <xdr:col>13</xdr:col>
      <xdr:colOff>0</xdr:colOff>
      <xdr:row>12</xdr:row>
      <xdr:rowOff>166376</xdr:rowOff>
    </xdr:to>
    <xdr:sp macro="" textlink="">
      <xdr:nvSpPr>
        <xdr:cNvPr id="27" name="CaixaDeTexto 26"/>
        <xdr:cNvSpPr txBox="1"/>
      </xdr:nvSpPr>
      <xdr:spPr>
        <a:xfrm>
          <a:off x="3008516" y="960641"/>
          <a:ext cx="239509"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500"/>
            </a:lnSpc>
          </a:pPr>
          <a:r>
            <a:rPr lang="pt-BR" sz="800">
              <a:latin typeface="Arial" pitchFamily="34" charset="0"/>
              <a:cs typeface="Arial" pitchFamily="34" charset="0"/>
            </a:rPr>
            <a:t>REAL</a:t>
          </a:r>
        </a:p>
        <a:p>
          <a:endParaRPr lang="pt-BR" sz="800"/>
        </a:p>
      </xdr:txBody>
    </xdr:sp>
    <xdr:clientData/>
  </xdr:twoCellAnchor>
  <xdr:twoCellAnchor>
    <xdr:from>
      <xdr:col>2</xdr:col>
      <xdr:colOff>0</xdr:colOff>
      <xdr:row>5</xdr:row>
      <xdr:rowOff>1</xdr:rowOff>
    </xdr:from>
    <xdr:to>
      <xdr:col>2</xdr:col>
      <xdr:colOff>213939</xdr:colOff>
      <xdr:row>12</xdr:row>
      <xdr:rowOff>167221</xdr:rowOff>
    </xdr:to>
    <xdr:sp macro="" textlink="">
      <xdr:nvSpPr>
        <xdr:cNvPr id="28" name="CaixaDeTexto 27"/>
        <xdr:cNvSpPr txBox="1"/>
      </xdr:nvSpPr>
      <xdr:spPr>
        <a:xfrm>
          <a:off x="523875" y="952501"/>
          <a:ext cx="236090" cy="1496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C</a:t>
          </a:r>
        </a:p>
        <a:p>
          <a:pPr algn="ctr"/>
          <a:r>
            <a:rPr lang="pt-BR" sz="800"/>
            <a:t>H</a:t>
          </a:r>
        </a:p>
        <a:p>
          <a:pPr algn="ctr"/>
          <a:r>
            <a:rPr lang="pt-BR" sz="800"/>
            <a:t>U</a:t>
          </a:r>
        </a:p>
        <a:p>
          <a:pPr algn="ctr"/>
          <a:r>
            <a:rPr lang="pt-BR" sz="800"/>
            <a:t>V</a:t>
          </a:r>
        </a:p>
        <a:p>
          <a:pPr algn="ctr"/>
          <a:r>
            <a:rPr lang="pt-BR" sz="800"/>
            <a:t>E</a:t>
          </a:r>
        </a:p>
        <a:p>
          <a:pPr algn="ctr"/>
          <a:r>
            <a:rPr lang="pt-BR" sz="800"/>
            <a:t>I</a:t>
          </a:r>
        </a:p>
        <a:p>
          <a:pPr algn="ctr"/>
          <a:r>
            <a:rPr lang="pt-BR" sz="800"/>
            <a:t>R</a:t>
          </a:r>
        </a:p>
        <a:p>
          <a:pPr algn="ctr"/>
          <a:r>
            <a:rPr lang="pt-BR" sz="800"/>
            <a:t>O</a:t>
          </a:r>
        </a:p>
        <a:p>
          <a:pPr algn="ctr"/>
          <a:endParaRPr lang="pt-BR" sz="800"/>
        </a:p>
        <a:p>
          <a:endParaRPr lang="pt-BR" sz="800"/>
        </a:p>
      </xdr:txBody>
    </xdr:sp>
    <xdr:clientData/>
  </xdr:twoCellAnchor>
  <xdr:twoCellAnchor>
    <xdr:from>
      <xdr:col>6</xdr:col>
      <xdr:colOff>8140</xdr:colOff>
      <xdr:row>5</xdr:row>
      <xdr:rowOff>1792</xdr:rowOff>
    </xdr:from>
    <xdr:to>
      <xdr:col>7</xdr:col>
      <xdr:colOff>0</xdr:colOff>
      <xdr:row>12</xdr:row>
      <xdr:rowOff>167173</xdr:rowOff>
    </xdr:to>
    <xdr:sp macro="" textlink="">
      <xdr:nvSpPr>
        <xdr:cNvPr id="29" name="CaixaDeTexto 28"/>
        <xdr:cNvSpPr txBox="1"/>
      </xdr:nvSpPr>
      <xdr:spPr>
        <a:xfrm>
          <a:off x="1522615" y="960642"/>
          <a:ext cx="239510" cy="1488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BALANCEADA</a:t>
          </a:r>
        </a:p>
        <a:p>
          <a:endParaRPr lang="pt-BR" sz="800"/>
        </a:p>
      </xdr:txBody>
    </xdr:sp>
    <xdr:clientData/>
  </xdr:twoCellAnchor>
  <xdr:twoCellAnchor>
    <xdr:from>
      <xdr:col>16</xdr:col>
      <xdr:colOff>0</xdr:colOff>
      <xdr:row>5</xdr:row>
      <xdr:rowOff>1791</xdr:rowOff>
    </xdr:from>
    <xdr:to>
      <xdr:col>16</xdr:col>
      <xdr:colOff>213939</xdr:colOff>
      <xdr:row>12</xdr:row>
      <xdr:rowOff>166376</xdr:rowOff>
    </xdr:to>
    <xdr:sp macro="" textlink="">
      <xdr:nvSpPr>
        <xdr:cNvPr id="30" name="CaixaDeTexto 29"/>
        <xdr:cNvSpPr txBox="1"/>
      </xdr:nvSpPr>
      <xdr:spPr>
        <a:xfrm>
          <a:off x="3990975" y="960641"/>
          <a:ext cx="236090"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E</a:t>
          </a:r>
        </a:p>
        <a:p>
          <a:pPr algn="ctr"/>
          <a:r>
            <a:rPr lang="pt-BR" sz="800">
              <a:latin typeface="Arial" pitchFamily="34" charset="0"/>
              <a:cs typeface="Arial" pitchFamily="34" charset="0"/>
            </a:rPr>
            <a:t>Q</a:t>
          </a:r>
        </a:p>
        <a:p>
          <a:pPr algn="ctr"/>
          <a:r>
            <a:rPr lang="pt-BR" sz="800">
              <a:latin typeface="Arial" pitchFamily="34" charset="0"/>
              <a:cs typeface="Arial" pitchFamily="34" charset="0"/>
            </a:rPr>
            <a:t>U</a:t>
          </a:r>
        </a:p>
        <a:p>
          <a:pPr algn="ctr"/>
          <a:r>
            <a:rPr lang="pt-BR" sz="800">
              <a:latin typeface="Arial" pitchFamily="34" charset="0"/>
              <a:cs typeface="Arial" pitchFamily="34" charset="0"/>
            </a:rPr>
            <a:t>I</a:t>
          </a:r>
        </a:p>
        <a:p>
          <a:pPr algn="ctr"/>
          <a:r>
            <a:rPr lang="pt-BR" sz="800">
              <a:latin typeface="Arial" pitchFamily="34" charset="0"/>
              <a:cs typeface="Arial" pitchFamily="34" charset="0"/>
            </a:rPr>
            <a:t>V</a:t>
          </a:r>
        </a:p>
        <a:p>
          <a:pPr algn="ctr"/>
          <a:r>
            <a:rPr lang="pt-BR" sz="800">
              <a:latin typeface="Arial" pitchFamily="34" charset="0"/>
              <a:cs typeface="Arial" pitchFamily="34" charset="0"/>
            </a:rPr>
            <a:t>A</a:t>
          </a:r>
        </a:p>
        <a:p>
          <a:pPr algn="ctr"/>
          <a:r>
            <a:rPr lang="pt-BR" sz="800">
              <a:latin typeface="Arial" pitchFamily="34" charset="0"/>
              <a:cs typeface="Arial" pitchFamily="34" charset="0"/>
            </a:rPr>
            <a:t>L</a:t>
          </a:r>
        </a:p>
        <a:p>
          <a:pPr algn="ctr"/>
          <a:r>
            <a:rPr lang="pt-BR" sz="800">
              <a:latin typeface="Arial" pitchFamily="34" charset="0"/>
              <a:cs typeface="Arial" pitchFamily="34" charset="0"/>
            </a:rPr>
            <a:t>E</a:t>
          </a:r>
        </a:p>
        <a:p>
          <a:pPr algn="ctr"/>
          <a:r>
            <a:rPr lang="pt-BR" sz="800">
              <a:latin typeface="Arial" pitchFamily="34" charset="0"/>
              <a:cs typeface="Arial" pitchFamily="34" charset="0"/>
            </a:rPr>
            <a:t>N</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E</a:t>
          </a:r>
        </a:p>
        <a:p>
          <a:endParaRPr lang="pt-BR" sz="800"/>
        </a:p>
      </xdr:txBody>
    </xdr:sp>
    <xdr:clientData/>
  </xdr:twoCellAnchor>
  <xdr:twoCellAnchor>
    <xdr:from>
      <xdr:col>7</xdr:col>
      <xdr:colOff>8142</xdr:colOff>
      <xdr:row>5</xdr:row>
      <xdr:rowOff>0</xdr:rowOff>
    </xdr:from>
    <xdr:to>
      <xdr:col>8</xdr:col>
      <xdr:colOff>1</xdr:colOff>
      <xdr:row>12</xdr:row>
      <xdr:rowOff>167221</xdr:rowOff>
    </xdr:to>
    <xdr:sp macro="" textlink="">
      <xdr:nvSpPr>
        <xdr:cNvPr id="31" name="CaixaDeTexto 30"/>
        <xdr:cNvSpPr txBox="1"/>
      </xdr:nvSpPr>
      <xdr:spPr>
        <a:xfrm>
          <a:off x="1770267" y="952500"/>
          <a:ext cx="239509" cy="1496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t>CALCULADO</a:t>
          </a:r>
        </a:p>
        <a:p>
          <a:endParaRPr lang="pt-BR" sz="800"/>
        </a:p>
      </xdr:txBody>
    </xdr:sp>
    <xdr:clientData/>
  </xdr:twoCellAnchor>
  <xdr:twoCellAnchor>
    <xdr:from>
      <xdr:col>11</xdr:col>
      <xdr:colOff>8141</xdr:colOff>
      <xdr:row>5</xdr:row>
      <xdr:rowOff>1791</xdr:rowOff>
    </xdr:from>
    <xdr:to>
      <xdr:col>12</xdr:col>
      <xdr:colOff>0</xdr:colOff>
      <xdr:row>12</xdr:row>
      <xdr:rowOff>166376</xdr:rowOff>
    </xdr:to>
    <xdr:sp macro="" textlink="">
      <xdr:nvSpPr>
        <xdr:cNvPr id="32" name="CaixaDeTexto 31"/>
        <xdr:cNvSpPr txBox="1"/>
      </xdr:nvSpPr>
      <xdr:spPr>
        <a:xfrm>
          <a:off x="2760866" y="960641"/>
          <a:ext cx="239509"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REFERÊNCIA</a:t>
          </a:r>
        </a:p>
        <a:p>
          <a:endParaRPr lang="pt-BR" sz="800"/>
        </a:p>
      </xdr:txBody>
    </xdr:sp>
    <xdr:clientData/>
  </xdr:twoCellAnchor>
  <xdr:twoCellAnchor>
    <xdr:from>
      <xdr:col>17</xdr:col>
      <xdr:colOff>8140</xdr:colOff>
      <xdr:row>5</xdr:row>
      <xdr:rowOff>325</xdr:rowOff>
    </xdr:from>
    <xdr:to>
      <xdr:col>18</xdr:col>
      <xdr:colOff>455</xdr:colOff>
      <xdr:row>12</xdr:row>
      <xdr:rowOff>162619</xdr:rowOff>
    </xdr:to>
    <xdr:sp macro="" textlink="">
      <xdr:nvSpPr>
        <xdr:cNvPr id="33" name="CaixaDeTexto 32"/>
        <xdr:cNvSpPr txBox="1"/>
      </xdr:nvSpPr>
      <xdr:spPr>
        <a:xfrm>
          <a:off x="4246765" y="956000"/>
          <a:ext cx="276795" cy="150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UN</a:t>
          </a:r>
        </a:p>
        <a:p>
          <a:pPr algn="ctr"/>
          <a:r>
            <a:rPr lang="pt-BR" sz="800">
              <a:latin typeface="Arial" pitchFamily="34" charset="0"/>
              <a:cs typeface="Arial" pitchFamily="34" charset="0"/>
            </a:rPr>
            <a:t>I</a:t>
          </a:r>
        </a:p>
        <a:p>
          <a:pPr algn="ctr"/>
          <a:r>
            <a:rPr lang="pt-BR" sz="800">
              <a:latin typeface="Arial" pitchFamily="34" charset="0"/>
              <a:cs typeface="Arial" pitchFamily="34" charset="0"/>
            </a:rPr>
            <a:t>T</a:t>
          </a:r>
        </a:p>
        <a:p>
          <a:pPr algn="ctr"/>
          <a:r>
            <a:rPr lang="pt-BR" sz="800">
              <a:latin typeface="Arial" pitchFamily="34" charset="0"/>
              <a:cs typeface="Arial" pitchFamily="34" charset="0"/>
            </a:rPr>
            <a:t>Á</a:t>
          </a:r>
        </a:p>
        <a:p>
          <a:pPr algn="ctr">
            <a:lnSpc>
              <a:spcPts val="800"/>
            </a:lnSpc>
          </a:pPr>
          <a:r>
            <a:rPr lang="pt-BR" sz="800">
              <a:latin typeface="Arial" pitchFamily="34" charset="0"/>
              <a:cs typeface="Arial" pitchFamily="34" charset="0"/>
            </a:rPr>
            <a:t>R</a:t>
          </a:r>
        </a:p>
        <a:p>
          <a:pPr algn="ctr">
            <a:lnSpc>
              <a:spcPts val="800"/>
            </a:lnSpc>
          </a:pPr>
          <a:r>
            <a:rPr lang="pt-BR" sz="800">
              <a:latin typeface="Arial" pitchFamily="34" charset="0"/>
              <a:cs typeface="Arial" pitchFamily="34" charset="0"/>
            </a:rPr>
            <a:t>I</a:t>
          </a:r>
        </a:p>
        <a:p>
          <a:pPr algn="ctr"/>
          <a:r>
            <a:rPr lang="pt-BR" sz="800">
              <a:latin typeface="Arial" pitchFamily="34" charset="0"/>
              <a:cs typeface="Arial" pitchFamily="34" charset="0"/>
            </a:rPr>
            <a:t>A</a:t>
          </a:r>
        </a:p>
        <a:p>
          <a:pPr>
            <a:lnSpc>
              <a:spcPts val="800"/>
            </a:lnSpc>
          </a:pPr>
          <a:endParaRPr lang="pt-BR" sz="800"/>
        </a:p>
      </xdr:txBody>
    </xdr:sp>
    <xdr:clientData/>
  </xdr:twoCellAnchor>
  <xdr:twoCellAnchor>
    <xdr:from>
      <xdr:col>18</xdr:col>
      <xdr:colOff>0</xdr:colOff>
      <xdr:row>5</xdr:row>
      <xdr:rowOff>1</xdr:rowOff>
    </xdr:from>
    <xdr:to>
      <xdr:col>19</xdr:col>
      <xdr:colOff>0</xdr:colOff>
      <xdr:row>12</xdr:row>
      <xdr:rowOff>162618</xdr:rowOff>
    </xdr:to>
    <xdr:sp macro="" textlink="">
      <xdr:nvSpPr>
        <xdr:cNvPr id="34" name="CaixaDeTexto 33"/>
        <xdr:cNvSpPr txBox="1"/>
      </xdr:nvSpPr>
      <xdr:spPr>
        <a:xfrm>
          <a:off x="4533900" y="952501"/>
          <a:ext cx="247650" cy="150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pt-BR" sz="800">
              <a:latin typeface="Arial" pitchFamily="34" charset="0"/>
              <a:cs typeface="Arial" pitchFamily="34" charset="0"/>
            </a:rPr>
            <a:t>TOTAL</a:t>
          </a:r>
        </a:p>
        <a:p>
          <a:endParaRPr lang="pt-BR"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66675</xdr:rowOff>
    </xdr:from>
    <xdr:to>
      <xdr:col>7</xdr:col>
      <xdr:colOff>1057275</xdr:colOff>
      <xdr:row>2</xdr:row>
      <xdr:rowOff>104775</xdr:rowOff>
    </xdr:to>
    <xdr:pic>
      <xdr:nvPicPr>
        <xdr:cNvPr id="12663" name="Picture 2" descr="sanevias logo escolhi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66675"/>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BORA%20HENRIQUE/PROTEGER%20ENGENHARIA/PROJETOS/2019/3%20CONCLU&#205;DO/060-19%20LASA%20PARAUAPEBAS/PARAUAPEBAS-MEMORIAL-02-PREVEN&#199;&#195;O%20INC&#202;NDIO-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1"/>
      <sheetName val="MD2"/>
      <sheetName val="MC1"/>
      <sheetName val="MC2"/>
      <sheetName val="IT"/>
      <sheetName val="NBR"/>
      <sheetName val="NPSH"/>
      <sheetName val="SPK1"/>
      <sheetName val="SPK2"/>
      <sheetName val="Carta CBM"/>
      <sheetName val="Carta Cliente"/>
      <sheetName val="Planilha ORC M"/>
      <sheetName val="Planilha ORC"/>
      <sheetName val="Carta CBMs"/>
      <sheetName val="Carta Clientes"/>
    </sheetNames>
    <sheetDataSet>
      <sheetData sheetId="0" refreshError="1"/>
      <sheetData sheetId="1" refreshError="1"/>
      <sheetData sheetId="2" refreshError="1"/>
      <sheetData sheetId="3" refreshError="1">
        <row r="3">
          <cell r="B3" t="str">
            <v/>
          </cell>
        </row>
      </sheetData>
      <sheetData sheetId="4" refreshError="1">
        <row r="100">
          <cell r="L100">
            <v>400</v>
          </cell>
        </row>
        <row r="112">
          <cell r="F112" t="e">
            <v>#VALUE!</v>
          </cell>
        </row>
        <row r="113">
          <cell r="F113" t="str">
            <v/>
          </cell>
        </row>
        <row r="115">
          <cell r="F115" t="e">
            <v>#DIV/0!</v>
          </cell>
        </row>
        <row r="116">
          <cell r="F116">
            <v>0</v>
          </cell>
        </row>
        <row r="182">
          <cell r="J182">
            <v>2</v>
          </cell>
        </row>
      </sheetData>
      <sheetData sheetId="5" refreshError="1">
        <row r="112">
          <cell r="F112" t="e">
            <v>#VALUE!</v>
          </cell>
        </row>
        <row r="113">
          <cell r="F113" t="str">
            <v/>
          </cell>
        </row>
        <row r="115">
          <cell r="F115" t="e">
            <v>#DIV/0!</v>
          </cell>
        </row>
        <row r="116">
          <cell r="F116">
            <v>0</v>
          </cell>
        </row>
        <row r="177">
          <cell r="J177" t="str">
            <v>NBJ</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realfire.com.br/pesquisacat.asp?CodCategoria=18" TargetMode="External"/><Relationship Id="rId2" Type="http://schemas.openxmlformats.org/officeDocument/2006/relationships/hyperlink" Target="http://www.nairi.com.br/?q=node/14" TargetMode="External"/><Relationship Id="rId1" Type="http://schemas.openxmlformats.org/officeDocument/2006/relationships/hyperlink" Target="http://www.nairi.com.br/?q=node/11" TargetMode="External"/><Relationship Id="rId6" Type="http://schemas.openxmlformats.org/officeDocument/2006/relationships/printerSettings" Target="../printerSettings/printerSettings13.bin"/><Relationship Id="rId5" Type="http://schemas.openxmlformats.org/officeDocument/2006/relationships/hyperlink" Target="http://www.realfire.com.br/detalhe.asp?CodProduto=CH310" TargetMode="External"/><Relationship Id="rId4" Type="http://schemas.openxmlformats.org/officeDocument/2006/relationships/hyperlink" Target="http://www.saint-gobain-canalizacao.com.br/ln_valvulas/incendio_hc00.as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view="pageLayout" topLeftCell="A53" zoomScaleNormal="100" workbookViewId="0">
      <selection activeCell="Z10" sqref="Z10"/>
    </sheetView>
  </sheetViews>
  <sheetFormatPr defaultColWidth="8.85546875" defaultRowHeight="12.75" x14ac:dyDescent="0.2"/>
  <cols>
    <col min="1" max="7" width="3.7109375" style="76" customWidth="1"/>
    <col min="8" max="8" width="3.28515625" style="76" customWidth="1"/>
    <col min="9" max="11" width="3.7109375" style="76" customWidth="1"/>
    <col min="12" max="12" width="5.28515625" style="76" customWidth="1"/>
    <col min="13" max="13" width="3.7109375" style="76" customWidth="1"/>
    <col min="14" max="14" width="2.28515625" style="76" customWidth="1"/>
    <col min="15" max="19" width="3.7109375" style="76" customWidth="1"/>
    <col min="20" max="20" width="2.85546875" style="76" customWidth="1"/>
    <col min="21" max="21" width="5.7109375" style="76" customWidth="1"/>
    <col min="22" max="23" width="5.28515625" style="76" customWidth="1"/>
    <col min="24" max="24" width="6" style="76" customWidth="1"/>
    <col min="25" max="16384" width="8.85546875" style="76"/>
  </cols>
  <sheetData>
    <row r="1" spans="1:24" x14ac:dyDescent="0.2">
      <c r="A1" s="710" t="s">
        <v>791</v>
      </c>
      <c r="B1" s="711"/>
      <c r="C1" s="711"/>
      <c r="D1" s="716"/>
      <c r="E1" s="716"/>
      <c r="F1" s="716"/>
      <c r="G1" s="716"/>
      <c r="H1" s="716"/>
      <c r="I1" s="719" t="s">
        <v>792</v>
      </c>
      <c r="J1" s="716"/>
      <c r="K1" s="716"/>
      <c r="L1" s="716"/>
      <c r="M1" s="716"/>
      <c r="N1" s="716"/>
      <c r="O1" s="716"/>
      <c r="P1" s="716"/>
      <c r="Q1" s="716"/>
      <c r="R1" s="716"/>
      <c r="S1" s="716"/>
      <c r="T1" s="716"/>
      <c r="U1" s="716"/>
      <c r="V1" s="716"/>
      <c r="W1" s="716"/>
      <c r="X1" s="720"/>
    </row>
    <row r="2" spans="1:24" x14ac:dyDescent="0.2">
      <c r="A2" s="712"/>
      <c r="B2" s="713"/>
      <c r="C2" s="713"/>
      <c r="D2" s="717"/>
      <c r="E2" s="717"/>
      <c r="F2" s="717"/>
      <c r="G2" s="717"/>
      <c r="H2" s="717"/>
      <c r="I2" s="717"/>
      <c r="J2" s="717"/>
      <c r="K2" s="717"/>
      <c r="L2" s="717"/>
      <c r="M2" s="717"/>
      <c r="N2" s="717"/>
      <c r="O2" s="717"/>
      <c r="P2" s="717"/>
      <c r="Q2" s="717"/>
      <c r="R2" s="717"/>
      <c r="S2" s="717"/>
      <c r="T2" s="717"/>
      <c r="U2" s="717"/>
      <c r="V2" s="717"/>
      <c r="W2" s="717"/>
      <c r="X2" s="721"/>
    </row>
    <row r="3" spans="1:24" ht="22.9" customHeight="1" thickBot="1" x14ac:dyDescent="0.25">
      <c r="A3" s="714"/>
      <c r="B3" s="715"/>
      <c r="C3" s="715"/>
      <c r="D3" s="718"/>
      <c r="E3" s="718"/>
      <c r="F3" s="718"/>
      <c r="G3" s="718"/>
      <c r="H3" s="718"/>
      <c r="I3" s="718"/>
      <c r="J3" s="718"/>
      <c r="K3" s="718"/>
      <c r="L3" s="718"/>
      <c r="M3" s="718"/>
      <c r="N3" s="718"/>
      <c r="O3" s="718"/>
      <c r="P3" s="718"/>
      <c r="Q3" s="718"/>
      <c r="R3" s="718"/>
      <c r="S3" s="718"/>
      <c r="T3" s="718"/>
      <c r="U3" s="718"/>
      <c r="V3" s="718"/>
      <c r="W3" s="718"/>
      <c r="X3" s="722"/>
    </row>
    <row r="4" spans="1:24" ht="12.6" customHeight="1" thickBot="1" x14ac:dyDescent="0.25">
      <c r="A4" s="723" t="s">
        <v>793</v>
      </c>
      <c r="B4" s="723"/>
      <c r="C4" s="723"/>
      <c r="D4" s="723"/>
      <c r="E4" s="723"/>
      <c r="F4" s="723"/>
      <c r="G4" s="723"/>
      <c r="H4" s="723"/>
      <c r="I4" s="723"/>
      <c r="J4" s="723"/>
      <c r="K4" s="723"/>
      <c r="L4" s="723"/>
      <c r="M4" s="723"/>
      <c r="N4" s="723"/>
      <c r="O4" s="723"/>
      <c r="P4" s="723"/>
      <c r="Q4" s="723"/>
      <c r="R4" s="723"/>
      <c r="S4" s="723"/>
      <c r="T4" s="723"/>
      <c r="U4" s="723"/>
      <c r="V4" s="723"/>
      <c r="W4" s="723"/>
      <c r="X4" s="723"/>
    </row>
    <row r="5" spans="1:24" ht="28.5" customHeight="1" thickBot="1" x14ac:dyDescent="0.25">
      <c r="A5" s="724" t="s">
        <v>1</v>
      </c>
      <c r="B5" s="725"/>
      <c r="C5" s="725"/>
      <c r="D5" s="725"/>
      <c r="E5" s="725"/>
      <c r="F5" s="726"/>
      <c r="G5" s="727" t="s">
        <v>794</v>
      </c>
      <c r="H5" s="727"/>
      <c r="I5" s="727"/>
      <c r="J5" s="727"/>
      <c r="K5" s="727"/>
      <c r="L5" s="727"/>
      <c r="M5" s="727"/>
      <c r="N5" s="727"/>
      <c r="O5" s="727"/>
      <c r="P5" s="727"/>
      <c r="Q5" s="727"/>
      <c r="R5" s="727"/>
      <c r="S5" s="728"/>
      <c r="T5" s="729" t="s">
        <v>729</v>
      </c>
      <c r="U5" s="730"/>
      <c r="V5" s="730"/>
      <c r="W5" s="730"/>
      <c r="X5" s="731"/>
    </row>
    <row r="6" spans="1:24" ht="12.6" customHeight="1" thickBot="1" x14ac:dyDescent="0.25">
      <c r="A6" s="732" t="s">
        <v>2</v>
      </c>
      <c r="B6" s="733"/>
      <c r="C6" s="733"/>
      <c r="D6" s="733"/>
      <c r="E6" s="733"/>
      <c r="F6" s="733"/>
      <c r="G6" s="733"/>
      <c r="H6" s="733"/>
      <c r="I6" s="733"/>
      <c r="J6" s="733"/>
      <c r="K6" s="733"/>
      <c r="L6" s="733"/>
      <c r="M6" s="733"/>
      <c r="N6" s="733"/>
      <c r="O6" s="733"/>
      <c r="P6" s="733"/>
      <c r="Q6" s="733"/>
      <c r="R6" s="733"/>
      <c r="S6" s="733"/>
      <c r="T6" s="733"/>
      <c r="U6" s="733"/>
      <c r="V6" s="733"/>
      <c r="W6" s="733"/>
      <c r="X6" s="734"/>
    </row>
    <row r="7" spans="1:24" ht="12.6" customHeight="1" x14ac:dyDescent="0.2">
      <c r="A7" s="735" t="s">
        <v>3</v>
      </c>
      <c r="B7" s="736"/>
      <c r="C7" s="736"/>
      <c r="D7" s="736"/>
      <c r="E7" s="736"/>
      <c r="F7" s="737" t="e">
        <f>#REF!</f>
        <v>#REF!</v>
      </c>
      <c r="G7" s="738"/>
      <c r="H7" s="738"/>
      <c r="I7" s="738"/>
      <c r="J7" s="738"/>
      <c r="K7" s="738"/>
      <c r="L7" s="738"/>
      <c r="M7" s="738"/>
      <c r="N7" s="738"/>
      <c r="O7" s="738"/>
      <c r="P7" s="738"/>
      <c r="Q7" s="738"/>
      <c r="R7" s="738"/>
      <c r="S7" s="738"/>
      <c r="T7" s="738"/>
      <c r="U7" s="738"/>
      <c r="V7" s="738"/>
      <c r="W7" s="738"/>
      <c r="X7" s="739"/>
    </row>
    <row r="8" spans="1:24" ht="13.9" customHeight="1" x14ac:dyDescent="0.2">
      <c r="A8" s="740" t="s">
        <v>19</v>
      </c>
      <c r="B8" s="741"/>
      <c r="C8" s="741"/>
      <c r="D8" s="741"/>
      <c r="E8" s="742" t="e">
        <f>#REF!</f>
        <v>#REF!</v>
      </c>
      <c r="F8" s="742"/>
      <c r="G8" s="742"/>
      <c r="H8" s="742"/>
      <c r="I8" s="742"/>
      <c r="J8" s="742"/>
      <c r="K8" s="742"/>
      <c r="L8" s="742"/>
      <c r="M8" s="742"/>
      <c r="N8" s="742"/>
      <c r="O8" s="742"/>
      <c r="P8" s="742"/>
      <c r="Q8" s="743" t="s">
        <v>6</v>
      </c>
      <c r="R8" s="743"/>
      <c r="S8" s="744" t="s">
        <v>795</v>
      </c>
      <c r="T8" s="742"/>
      <c r="U8" s="742"/>
      <c r="V8" s="742"/>
      <c r="W8" s="742"/>
      <c r="X8" s="745"/>
    </row>
    <row r="9" spans="1:24" ht="12.6" customHeight="1" x14ac:dyDescent="0.2">
      <c r="A9" s="746" t="s">
        <v>796</v>
      </c>
      <c r="B9" s="747"/>
      <c r="C9" s="747"/>
      <c r="D9" s="742" t="e">
        <f>#REF!</f>
        <v>#REF!</v>
      </c>
      <c r="E9" s="742"/>
      <c r="F9" s="742"/>
      <c r="G9" s="742"/>
      <c r="H9" s="742"/>
      <c r="I9" s="742"/>
      <c r="J9" s="742"/>
      <c r="K9" s="742"/>
      <c r="L9" s="742"/>
      <c r="M9" s="742"/>
      <c r="N9" s="742"/>
      <c r="O9" s="742"/>
      <c r="P9" s="742"/>
      <c r="Q9" s="743" t="s">
        <v>5</v>
      </c>
      <c r="R9" s="743"/>
      <c r="S9" s="743"/>
      <c r="T9" s="742" t="e">
        <f>#REF!</f>
        <v>#REF!</v>
      </c>
      <c r="U9" s="742"/>
      <c r="V9" s="742"/>
      <c r="W9" s="742"/>
      <c r="X9" s="745"/>
    </row>
    <row r="10" spans="1:24" ht="13.15" customHeight="1" x14ac:dyDescent="0.2">
      <c r="A10" s="740" t="s">
        <v>21</v>
      </c>
      <c r="B10" s="743"/>
      <c r="C10" s="743"/>
      <c r="D10" s="743"/>
      <c r="E10" s="742" t="e">
        <f>#REF!</f>
        <v>#REF!</v>
      </c>
      <c r="F10" s="742"/>
      <c r="G10" s="742"/>
      <c r="H10" s="742"/>
      <c r="I10" s="742"/>
      <c r="J10" s="742"/>
      <c r="K10" s="742"/>
      <c r="L10" s="742"/>
      <c r="M10" s="742"/>
      <c r="N10" s="742"/>
      <c r="O10" s="742"/>
      <c r="P10" s="742"/>
      <c r="Q10" s="742"/>
      <c r="R10" s="742"/>
      <c r="S10" s="742"/>
      <c r="T10" s="742"/>
      <c r="U10" s="742"/>
      <c r="V10" s="742"/>
      <c r="W10" s="742"/>
      <c r="X10" s="745"/>
    </row>
    <row r="11" spans="1:24" ht="12" customHeight="1" x14ac:dyDescent="0.2">
      <c r="A11" s="740" t="s">
        <v>22</v>
      </c>
      <c r="B11" s="743"/>
      <c r="C11" s="743"/>
      <c r="D11" s="743"/>
      <c r="E11" s="743"/>
      <c r="F11" s="743"/>
      <c r="G11" s="748" t="e">
        <f>#REF!</f>
        <v>#REF!</v>
      </c>
      <c r="H11" s="748"/>
      <c r="I11" s="748"/>
      <c r="J11" s="748"/>
      <c r="K11" s="748"/>
      <c r="L11" s="748"/>
      <c r="M11" s="748"/>
      <c r="N11" s="748"/>
      <c r="O11" s="748"/>
      <c r="P11" s="748"/>
      <c r="Q11" s="749" t="s">
        <v>23</v>
      </c>
      <c r="R11" s="749"/>
      <c r="S11" s="749"/>
      <c r="T11" s="749"/>
      <c r="U11" s="749"/>
      <c r="V11" s="748" t="e">
        <f>#REF!</f>
        <v>#REF!</v>
      </c>
      <c r="W11" s="748"/>
      <c r="X11" s="750"/>
    </row>
    <row r="12" spans="1:24" ht="10.9" customHeight="1" x14ac:dyDescent="0.2">
      <c r="A12" s="751" t="s">
        <v>797</v>
      </c>
      <c r="B12" s="752"/>
      <c r="C12" s="752"/>
      <c r="D12" s="752"/>
      <c r="E12" s="752"/>
      <c r="F12" s="752"/>
      <c r="G12" s="752"/>
      <c r="H12" s="753" t="e">
        <f>#REF!</f>
        <v>#REF!</v>
      </c>
      <c r="I12" s="753"/>
      <c r="J12" s="753"/>
      <c r="K12" s="534"/>
      <c r="L12" s="534"/>
      <c r="M12" s="535"/>
      <c r="N12" s="535"/>
      <c r="O12" s="535"/>
      <c r="P12" s="535"/>
      <c r="Q12" s="530" t="s">
        <v>25</v>
      </c>
      <c r="R12" s="530"/>
      <c r="S12" s="536"/>
      <c r="T12" s="536"/>
      <c r="U12" s="536"/>
      <c r="V12" s="535"/>
      <c r="W12" s="534"/>
      <c r="X12" s="537"/>
    </row>
    <row r="13" spans="1:24" ht="12.6" customHeight="1" thickBot="1" x14ac:dyDescent="0.25">
      <c r="A13" s="740" t="s">
        <v>798</v>
      </c>
      <c r="B13" s="743"/>
      <c r="C13" s="743"/>
      <c r="D13" s="743"/>
      <c r="E13" s="743"/>
      <c r="F13" s="743"/>
      <c r="G13" s="743"/>
      <c r="H13" s="743"/>
      <c r="I13" s="743"/>
      <c r="J13" s="743"/>
      <c r="K13" s="743"/>
      <c r="L13" s="743"/>
      <c r="M13" s="743"/>
      <c r="N13" s="743"/>
      <c r="O13" s="743"/>
      <c r="P13" s="743"/>
      <c r="Q13" s="743"/>
      <c r="R13" s="743"/>
      <c r="S13" s="743"/>
      <c r="T13" s="754" t="e">
        <f>#REF!</f>
        <v>#REF!</v>
      </c>
      <c r="U13" s="754"/>
      <c r="V13" s="754"/>
      <c r="W13" s="754"/>
      <c r="X13" s="755"/>
    </row>
    <row r="14" spans="1:24" ht="12.6" customHeight="1" thickBot="1" x14ac:dyDescent="0.25">
      <c r="A14" s="756" t="s">
        <v>27</v>
      </c>
      <c r="B14" s="756"/>
      <c r="C14" s="756"/>
      <c r="D14" s="756"/>
      <c r="E14" s="756"/>
      <c r="F14" s="756"/>
      <c r="G14" s="756"/>
      <c r="H14" s="756"/>
      <c r="I14" s="756"/>
      <c r="J14" s="756"/>
      <c r="K14" s="756"/>
      <c r="L14" s="756"/>
      <c r="M14" s="756"/>
      <c r="N14" s="756"/>
      <c r="O14" s="756"/>
      <c r="P14" s="756"/>
      <c r="Q14" s="756"/>
      <c r="R14" s="756"/>
      <c r="S14" s="756"/>
      <c r="T14" s="756"/>
      <c r="U14" s="756"/>
      <c r="V14" s="756"/>
      <c r="W14" s="756"/>
      <c r="X14" s="756"/>
    </row>
    <row r="15" spans="1:24" ht="3" customHeight="1" thickBot="1" x14ac:dyDescent="0.25">
      <c r="A15" s="531"/>
      <c r="B15" s="538"/>
      <c r="C15" s="538"/>
      <c r="D15" s="538"/>
      <c r="E15" s="538"/>
      <c r="F15" s="538"/>
      <c r="G15" s="538"/>
      <c r="H15" s="538"/>
      <c r="I15" s="538"/>
      <c r="J15" s="538"/>
      <c r="K15" s="538"/>
      <c r="L15" s="538"/>
      <c r="M15" s="538"/>
      <c r="N15" s="538"/>
      <c r="O15" s="538"/>
      <c r="P15" s="538"/>
      <c r="Q15" s="538"/>
      <c r="R15" s="538"/>
      <c r="S15" s="538"/>
      <c r="T15" s="538"/>
      <c r="U15" s="538"/>
      <c r="V15" s="538"/>
      <c r="W15" s="538"/>
      <c r="X15" s="539"/>
    </row>
    <row r="16" spans="1:24" ht="12.6" customHeight="1" thickBot="1" x14ac:dyDescent="0.25">
      <c r="A16" s="746" t="s">
        <v>759</v>
      </c>
      <c r="B16" s="747"/>
      <c r="C16" s="747"/>
      <c r="D16" s="747"/>
      <c r="E16" s="747"/>
      <c r="F16" s="747"/>
      <c r="G16" s="757"/>
      <c r="H16" s="515"/>
      <c r="I16" s="746" t="s">
        <v>799</v>
      </c>
      <c r="J16" s="747"/>
      <c r="K16" s="541"/>
      <c r="L16" s="541"/>
      <c r="M16" s="516" t="s">
        <v>7</v>
      </c>
      <c r="N16" s="510" t="s">
        <v>800</v>
      </c>
      <c r="O16" s="542"/>
      <c r="P16" s="541"/>
      <c r="Q16" s="541"/>
      <c r="R16" s="541"/>
      <c r="S16" s="541"/>
      <c r="T16" s="541"/>
      <c r="U16" s="541"/>
      <c r="V16" s="541"/>
      <c r="W16" s="541"/>
      <c r="X16" s="543"/>
    </row>
    <row r="17" spans="1:24" ht="3" hidden="1" customHeight="1" thickBot="1" x14ac:dyDescent="0.25">
      <c r="A17" s="544"/>
      <c r="B17" s="545"/>
      <c r="C17" s="545"/>
      <c r="D17" s="545"/>
      <c r="E17" s="545"/>
      <c r="F17" s="545"/>
      <c r="G17" s="545"/>
      <c r="H17" s="503"/>
      <c r="I17" s="545"/>
      <c r="J17" s="545"/>
      <c r="K17" s="546"/>
      <c r="L17" s="546"/>
      <c r="M17" s="503"/>
      <c r="N17" s="545"/>
      <c r="O17" s="545"/>
      <c r="P17" s="546"/>
      <c r="Q17" s="546"/>
      <c r="R17" s="546"/>
      <c r="S17" s="546"/>
      <c r="T17" s="546"/>
      <c r="U17" s="546"/>
      <c r="V17" s="546"/>
      <c r="W17" s="546"/>
      <c r="X17" s="547"/>
    </row>
    <row r="18" spans="1:24" ht="3" hidden="1" customHeight="1" thickBot="1" x14ac:dyDescent="0.25">
      <c r="A18" s="513"/>
      <c r="B18" s="533"/>
      <c r="C18" s="533"/>
      <c r="D18" s="533"/>
      <c r="E18" s="533"/>
      <c r="F18" s="533"/>
      <c r="G18" s="533"/>
      <c r="H18" s="548"/>
      <c r="I18" s="542"/>
      <c r="J18" s="541"/>
      <c r="K18" s="541"/>
      <c r="L18" s="541"/>
      <c r="M18" s="548"/>
      <c r="N18" s="533"/>
      <c r="O18" s="533"/>
      <c r="P18" s="541"/>
      <c r="Q18" s="541"/>
      <c r="R18" s="541"/>
      <c r="S18" s="541"/>
      <c r="T18" s="541"/>
      <c r="U18" s="541"/>
      <c r="V18" s="541"/>
      <c r="W18" s="541"/>
      <c r="X18" s="543"/>
    </row>
    <row r="19" spans="1:24" ht="12.6" customHeight="1" thickBot="1" x14ac:dyDescent="0.25">
      <c r="A19" s="746" t="s">
        <v>760</v>
      </c>
      <c r="B19" s="747"/>
      <c r="C19" s="747"/>
      <c r="D19" s="747"/>
      <c r="E19" s="747"/>
      <c r="F19" s="747"/>
      <c r="G19" s="757"/>
      <c r="H19" s="549">
        <f>IF('MC2'!B4="x",NBR!C16,IT!C16)</f>
        <v>2</v>
      </c>
      <c r="I19" s="550"/>
      <c r="J19" s="516" t="str">
        <f>IF(H17&lt;&gt;1,"X","")</f>
        <v>X</v>
      </c>
      <c r="K19" s="758" t="s">
        <v>138</v>
      </c>
      <c r="L19" s="759"/>
      <c r="M19" s="759"/>
      <c r="N19" s="760" t="s">
        <v>761</v>
      </c>
      <c r="O19" s="760"/>
      <c r="P19" s="760"/>
      <c r="Q19" s="760"/>
      <c r="R19" s="541">
        <f>IF(J19="x",40,"")</f>
        <v>40</v>
      </c>
      <c r="S19" s="551" t="s">
        <v>801</v>
      </c>
      <c r="T19" s="551"/>
      <c r="U19" s="551"/>
      <c r="V19" s="552" t="str">
        <f>IF(J19="x","2x15","")</f>
        <v>2x15</v>
      </c>
      <c r="W19" s="553" t="s">
        <v>125</v>
      </c>
      <c r="X19" s="554">
        <v>2</v>
      </c>
    </row>
    <row r="20" spans="1:24" ht="13.5" customHeight="1" thickBot="1" x14ac:dyDescent="0.25">
      <c r="A20" s="746"/>
      <c r="B20" s="747"/>
      <c r="C20" s="747"/>
      <c r="D20" s="747"/>
      <c r="E20" s="747"/>
      <c r="F20" s="747"/>
      <c r="G20" s="747"/>
      <c r="H20" s="555"/>
      <c r="I20" s="530"/>
      <c r="J20" s="556"/>
      <c r="K20" s="740" t="s">
        <v>763</v>
      </c>
      <c r="L20" s="743"/>
      <c r="M20" s="743"/>
      <c r="N20" s="761" t="s">
        <v>761</v>
      </c>
      <c r="O20" s="761"/>
      <c r="P20" s="761"/>
      <c r="Q20" s="761"/>
      <c r="R20" s="542"/>
      <c r="S20" s="558" t="s">
        <v>762</v>
      </c>
      <c r="T20" s="558"/>
      <c r="U20" s="558"/>
      <c r="V20" s="558"/>
      <c r="W20" s="762" t="s">
        <v>802</v>
      </c>
      <c r="X20" s="763"/>
    </row>
    <row r="21" spans="1:24" ht="3" hidden="1" customHeight="1" x14ac:dyDescent="0.2">
      <c r="A21" s="544"/>
      <c r="B21" s="545"/>
      <c r="C21" s="545"/>
      <c r="D21" s="545"/>
      <c r="E21" s="545"/>
      <c r="F21" s="545"/>
      <c r="G21" s="545"/>
      <c r="H21" s="559"/>
      <c r="I21" s="506"/>
      <c r="J21" s="506"/>
      <c r="K21" s="507"/>
      <c r="L21" s="507"/>
      <c r="M21" s="507"/>
      <c r="N21" s="508"/>
      <c r="O21" s="508"/>
      <c r="P21" s="508"/>
      <c r="Q21" s="508"/>
      <c r="R21" s="509"/>
      <c r="S21" s="509"/>
      <c r="T21" s="508"/>
      <c r="U21" s="508"/>
      <c r="V21" s="508"/>
      <c r="W21" s="509"/>
      <c r="X21" s="560"/>
    </row>
    <row r="22" spans="1:24" ht="3" hidden="1" customHeight="1" thickBot="1" x14ac:dyDescent="0.25">
      <c r="A22" s="513"/>
      <c r="B22" s="533"/>
      <c r="C22" s="533"/>
      <c r="D22" s="533"/>
      <c r="E22" s="533"/>
      <c r="F22" s="533"/>
      <c r="G22" s="533"/>
      <c r="H22" s="561"/>
      <c r="I22" s="530"/>
      <c r="J22" s="530"/>
      <c r="K22" s="532"/>
      <c r="L22" s="532"/>
      <c r="M22" s="532"/>
      <c r="N22" s="557"/>
      <c r="O22" s="557"/>
      <c r="P22" s="557"/>
      <c r="Q22" s="557"/>
      <c r="R22" s="532"/>
      <c r="S22" s="532"/>
      <c r="T22" s="557"/>
      <c r="U22" s="557"/>
      <c r="V22" s="557"/>
      <c r="W22" s="562"/>
      <c r="X22" s="563"/>
    </row>
    <row r="23" spans="1:24" ht="12.6" customHeight="1" thickBot="1" x14ac:dyDescent="0.25">
      <c r="A23" s="510" t="s">
        <v>764</v>
      </c>
      <c r="B23" s="542"/>
      <c r="C23" s="542"/>
      <c r="D23" s="542"/>
      <c r="E23" s="542"/>
      <c r="F23" s="542"/>
      <c r="G23" s="542"/>
      <c r="H23" s="515" t="s">
        <v>7</v>
      </c>
      <c r="I23" s="746" t="s">
        <v>28</v>
      </c>
      <c r="J23" s="747"/>
      <c r="K23" s="747"/>
      <c r="L23" s="558" t="s">
        <v>761</v>
      </c>
      <c r="M23" s="558"/>
      <c r="N23" s="558"/>
      <c r="O23" s="564"/>
      <c r="P23" s="558"/>
      <c r="Q23" s="565"/>
      <c r="R23" s="746" t="s">
        <v>765</v>
      </c>
      <c r="S23" s="747"/>
      <c r="T23" s="747"/>
      <c r="U23" s="558" t="s">
        <v>761</v>
      </c>
      <c r="V23" s="558"/>
      <c r="W23" s="768">
        <f>IF(H23="x",40,"")</f>
        <v>40</v>
      </c>
      <c r="X23" s="769"/>
    </row>
    <row r="24" spans="1:24" ht="3" hidden="1" customHeight="1" x14ac:dyDescent="0.2">
      <c r="A24" s="511"/>
      <c r="B24" s="512"/>
      <c r="C24" s="512"/>
      <c r="D24" s="512"/>
      <c r="E24" s="512"/>
      <c r="F24" s="512"/>
      <c r="G24" s="512"/>
      <c r="H24" s="506"/>
      <c r="I24" s="506"/>
      <c r="J24" s="503"/>
      <c r="K24" s="512"/>
      <c r="L24" s="512"/>
      <c r="M24" s="545"/>
      <c r="N24" s="764"/>
      <c r="O24" s="764"/>
      <c r="P24" s="764"/>
      <c r="Q24" s="764"/>
      <c r="R24" s="765"/>
      <c r="S24" s="765"/>
      <c r="T24" s="566"/>
      <c r="U24" s="566"/>
      <c r="V24" s="566" t="s">
        <v>311</v>
      </c>
      <c r="W24" s="766"/>
      <c r="X24" s="767"/>
    </row>
    <row r="25" spans="1:24" ht="3" hidden="1" customHeight="1" x14ac:dyDescent="0.2">
      <c r="A25" s="513"/>
      <c r="B25" s="533"/>
      <c r="C25" s="533"/>
      <c r="D25" s="533"/>
      <c r="E25" s="533"/>
      <c r="F25" s="533"/>
      <c r="G25" s="533"/>
      <c r="H25" s="530"/>
      <c r="I25" s="530"/>
      <c r="J25" s="548"/>
      <c r="K25" s="542"/>
      <c r="L25" s="542"/>
      <c r="M25" s="533"/>
      <c r="N25" s="557"/>
      <c r="O25" s="557"/>
      <c r="P25" s="557"/>
      <c r="Q25" s="557"/>
      <c r="R25" s="567"/>
      <c r="S25" s="567"/>
      <c r="W25" s="568"/>
      <c r="X25" s="569"/>
    </row>
    <row r="26" spans="1:24" ht="10.15" customHeight="1" x14ac:dyDescent="0.2">
      <c r="A26" s="513" t="s">
        <v>766</v>
      </c>
      <c r="B26" s="533"/>
      <c r="C26" s="533"/>
      <c r="D26" s="533"/>
      <c r="E26" s="533"/>
      <c r="F26" s="533"/>
      <c r="G26" s="533"/>
      <c r="H26" s="532"/>
      <c r="I26" s="535"/>
      <c r="J26" s="570">
        <v>3</v>
      </c>
      <c r="K26" s="570"/>
      <c r="L26" s="570"/>
      <c r="M26" s="570"/>
      <c r="N26" s="570"/>
      <c r="O26" s="570"/>
      <c r="W26" s="770"/>
      <c r="X26" s="771"/>
    </row>
    <row r="27" spans="1:24" ht="12.6" customHeight="1" thickBot="1" x14ac:dyDescent="0.25">
      <c r="A27" s="746" t="s">
        <v>767</v>
      </c>
      <c r="B27" s="747"/>
      <c r="C27" s="747"/>
      <c r="D27" s="747"/>
      <c r="E27" s="747"/>
      <c r="F27" s="747"/>
      <c r="G27" s="747"/>
      <c r="H27" s="747"/>
      <c r="I27" s="747"/>
      <c r="J27" s="747"/>
      <c r="K27" s="747"/>
      <c r="L27" s="747"/>
      <c r="M27" s="747"/>
      <c r="N27" s="747"/>
      <c r="O27" s="747"/>
      <c r="P27" s="747"/>
      <c r="Q27" s="747"/>
      <c r="R27" s="747"/>
      <c r="S27" s="747"/>
      <c r="T27" s="747"/>
      <c r="U27" s="747"/>
      <c r="V27" s="747"/>
      <c r="W27" s="747"/>
      <c r="X27" s="571"/>
    </row>
    <row r="28" spans="1:24" ht="12.6" customHeight="1" thickBot="1" x14ac:dyDescent="0.25">
      <c r="A28" s="572"/>
      <c r="C28" s="515"/>
      <c r="D28" s="772" t="s">
        <v>29</v>
      </c>
      <c r="E28" s="773"/>
      <c r="F28" s="773"/>
      <c r="G28" s="773"/>
      <c r="H28" s="773"/>
      <c r="I28" s="574"/>
      <c r="J28" s="515" t="s">
        <v>7</v>
      </c>
      <c r="K28" s="772" t="s">
        <v>30</v>
      </c>
      <c r="L28" s="773"/>
      <c r="M28" s="575"/>
      <c r="N28" s="533"/>
      <c r="O28" s="565"/>
      <c r="P28" s="772" t="s">
        <v>31</v>
      </c>
      <c r="Q28" s="773"/>
      <c r="R28" s="575"/>
      <c r="S28" s="533"/>
      <c r="T28" s="565"/>
      <c r="U28" s="772" t="s">
        <v>32</v>
      </c>
      <c r="V28" s="773"/>
      <c r="W28" s="533"/>
      <c r="X28" s="540"/>
    </row>
    <row r="29" spans="1:24" ht="3" hidden="1" customHeight="1" thickBot="1" x14ac:dyDescent="0.25">
      <c r="A29" s="576"/>
      <c r="B29" s="573"/>
      <c r="C29" s="573"/>
      <c r="D29" s="573"/>
      <c r="E29" s="573"/>
      <c r="F29" s="573"/>
      <c r="G29" s="573"/>
      <c r="H29" s="548"/>
      <c r="I29" s="573"/>
      <c r="J29" s="573"/>
      <c r="K29" s="573"/>
      <c r="L29" s="533"/>
      <c r="M29" s="548"/>
      <c r="N29" s="573"/>
      <c r="O29" s="573"/>
      <c r="P29" s="573"/>
      <c r="Q29" s="533"/>
      <c r="R29" s="548"/>
      <c r="S29" s="573"/>
      <c r="T29" s="533"/>
      <c r="U29" s="533"/>
      <c r="V29" s="548"/>
      <c r="W29" s="573"/>
      <c r="X29" s="577"/>
    </row>
    <row r="30" spans="1:24" ht="12.6" customHeight="1" thickBot="1" x14ac:dyDescent="0.25">
      <c r="A30" s="774" t="s">
        <v>768</v>
      </c>
      <c r="B30" s="775"/>
      <c r="C30" s="775"/>
      <c r="D30" s="775"/>
      <c r="E30" s="775"/>
      <c r="F30" s="775"/>
      <c r="G30" s="775"/>
      <c r="H30" s="775"/>
      <c r="I30" s="775"/>
      <c r="J30" s="775"/>
      <c r="K30" s="775"/>
      <c r="L30" s="775"/>
      <c r="M30" s="775"/>
      <c r="N30" s="775"/>
      <c r="O30" s="775"/>
      <c r="P30" s="775"/>
      <c r="Q30" s="775"/>
      <c r="R30" s="775"/>
      <c r="S30" s="775"/>
      <c r="T30" s="775"/>
      <c r="U30" s="775"/>
      <c r="V30" s="775"/>
      <c r="W30" s="775"/>
      <c r="X30" s="776"/>
    </row>
    <row r="31" spans="1:24" ht="3" hidden="1" customHeight="1" thickBot="1" x14ac:dyDescent="0.25">
      <c r="A31" s="531"/>
      <c r="B31" s="538"/>
      <c r="C31" s="538"/>
      <c r="D31" s="538"/>
      <c r="E31" s="538"/>
      <c r="F31" s="538"/>
      <c r="G31" s="538"/>
      <c r="H31" s="538"/>
      <c r="I31" s="538"/>
      <c r="J31" s="538"/>
      <c r="K31" s="538"/>
      <c r="L31" s="538"/>
      <c r="M31" s="538"/>
      <c r="N31" s="538"/>
      <c r="O31" s="538"/>
      <c r="P31" s="538"/>
      <c r="Q31" s="538"/>
      <c r="R31" s="538"/>
      <c r="S31" s="538"/>
      <c r="T31" s="538"/>
      <c r="U31" s="538"/>
      <c r="V31" s="538"/>
      <c r="W31" s="538"/>
      <c r="X31" s="539"/>
    </row>
    <row r="32" spans="1:24" ht="12.6" customHeight="1" thickBot="1" x14ac:dyDescent="0.25">
      <c r="A32" s="746" t="s">
        <v>33</v>
      </c>
      <c r="B32" s="747"/>
      <c r="C32" s="747"/>
      <c r="D32" s="747"/>
      <c r="E32" s="747"/>
      <c r="F32" s="747"/>
      <c r="G32" s="542"/>
      <c r="H32" s="515"/>
      <c r="I32" s="746" t="s">
        <v>34</v>
      </c>
      <c r="J32" s="747"/>
      <c r="K32" s="747"/>
      <c r="M32" s="517"/>
      <c r="N32" s="777" t="s">
        <v>35</v>
      </c>
      <c r="O32" s="778"/>
      <c r="P32" s="778"/>
      <c r="Q32" s="778"/>
      <c r="T32" s="517" t="s">
        <v>144</v>
      </c>
      <c r="U32" s="746" t="s">
        <v>36</v>
      </c>
      <c r="V32" s="747"/>
      <c r="W32" s="542"/>
      <c r="X32" s="578"/>
    </row>
    <row r="33" spans="1:24" ht="12.6" customHeight="1" x14ac:dyDescent="0.2">
      <c r="A33" s="779" t="s">
        <v>769</v>
      </c>
      <c r="B33" s="780"/>
      <c r="C33" s="780"/>
      <c r="D33" s="780"/>
      <c r="E33" s="780"/>
      <c r="F33" s="780"/>
      <c r="G33" s="780"/>
      <c r="H33" s="780"/>
      <c r="I33" s="780"/>
      <c r="J33" s="780"/>
      <c r="K33" s="780"/>
      <c r="L33" s="781" t="s">
        <v>803</v>
      </c>
      <c r="M33" s="781"/>
      <c r="N33" s="781"/>
      <c r="O33" s="781"/>
      <c r="P33" s="781"/>
      <c r="Q33" s="781"/>
      <c r="R33" s="781"/>
      <c r="S33" s="781"/>
      <c r="T33" s="781"/>
      <c r="U33" s="781"/>
      <c r="V33" s="781"/>
      <c r="W33" s="781"/>
      <c r="X33" s="782"/>
    </row>
    <row r="34" spans="1:24" ht="12.6" customHeight="1" thickBot="1" x14ac:dyDescent="0.25">
      <c r="A34" s="783" t="s">
        <v>770</v>
      </c>
      <c r="B34" s="784"/>
      <c r="C34" s="784"/>
      <c r="D34" s="784"/>
      <c r="E34" s="784"/>
      <c r="F34" s="784"/>
      <c r="G34" s="785">
        <v>12000</v>
      </c>
      <c r="H34" s="786"/>
      <c r="I34" s="786"/>
      <c r="J34" s="786"/>
      <c r="K34" s="786"/>
      <c r="L34" s="786"/>
      <c r="M34" s="784" t="s">
        <v>771</v>
      </c>
      <c r="N34" s="784"/>
      <c r="O34" s="784"/>
      <c r="P34" s="784"/>
      <c r="Q34" s="784"/>
      <c r="R34" s="784"/>
      <c r="S34" s="784"/>
      <c r="T34" s="784"/>
      <c r="U34" s="784"/>
      <c r="V34" s="792">
        <v>12000</v>
      </c>
      <c r="W34" s="792"/>
      <c r="X34" s="793"/>
    </row>
    <row r="35" spans="1:24" ht="12.6" customHeight="1" thickBot="1" x14ac:dyDescent="0.25">
      <c r="A35" s="787" t="s">
        <v>37</v>
      </c>
      <c r="B35" s="788"/>
      <c r="C35" s="788"/>
      <c r="D35" s="788"/>
      <c r="E35" s="788"/>
      <c r="F35" s="788"/>
      <c r="G35" s="788"/>
      <c r="H35" s="788"/>
      <c r="I35" s="788"/>
      <c r="J35" s="788"/>
      <c r="K35" s="788"/>
      <c r="L35" s="788"/>
      <c r="M35" s="788"/>
      <c r="N35" s="788"/>
      <c r="O35" s="788"/>
      <c r="P35" s="788"/>
      <c r="Q35" s="788"/>
      <c r="R35" s="788"/>
      <c r="S35" s="788"/>
      <c r="T35" s="788"/>
      <c r="U35" s="788"/>
      <c r="V35" s="788"/>
      <c r="W35" s="788"/>
      <c r="X35" s="789"/>
    </row>
    <row r="36" spans="1:24" ht="12.6" customHeight="1" x14ac:dyDescent="0.2">
      <c r="A36" s="790" t="s">
        <v>772</v>
      </c>
      <c r="B36" s="791"/>
      <c r="C36" s="791"/>
      <c r="D36" s="791"/>
      <c r="E36" s="791"/>
      <c r="F36" s="791"/>
      <c r="G36" s="791"/>
      <c r="H36" s="791"/>
      <c r="I36" s="791"/>
      <c r="J36" s="791"/>
      <c r="K36" s="791"/>
      <c r="L36" s="791"/>
      <c r="M36" s="738" t="s">
        <v>781</v>
      </c>
      <c r="N36" s="738"/>
      <c r="O36" s="738"/>
      <c r="P36" s="738"/>
      <c r="Q36" s="738"/>
      <c r="R36" s="738"/>
      <c r="S36" s="738"/>
      <c r="T36" s="738"/>
      <c r="U36" s="738"/>
      <c r="V36" s="738"/>
      <c r="W36" s="738"/>
      <c r="X36" s="739"/>
    </row>
    <row r="37" spans="1:24" ht="12.6" customHeight="1" x14ac:dyDescent="0.2">
      <c r="A37" s="794" t="s">
        <v>773</v>
      </c>
      <c r="B37" s="795"/>
      <c r="C37" s="795"/>
      <c r="D37" s="795"/>
      <c r="E37" s="795"/>
      <c r="F37" s="795"/>
      <c r="G37" s="795"/>
      <c r="H37" s="795"/>
      <c r="I37" s="796">
        <f>IF('MC2'!B4="x",NBR!D10,IT!D10)</f>
        <v>3</v>
      </c>
      <c r="J37" s="797"/>
      <c r="K37" s="797"/>
      <c r="L37" s="797"/>
      <c r="M37" s="797"/>
      <c r="N37" s="795" t="s">
        <v>774</v>
      </c>
      <c r="O37" s="795"/>
      <c r="P37" s="795"/>
      <c r="Q37" s="795"/>
      <c r="R37" s="795"/>
      <c r="S37" s="795"/>
      <c r="T37" s="795"/>
      <c r="U37" s="797">
        <v>3.9781999999999998E-2</v>
      </c>
      <c r="V37" s="797"/>
      <c r="W37" s="797"/>
      <c r="X37" s="798"/>
    </row>
    <row r="38" spans="1:24" ht="12.6" customHeight="1" x14ac:dyDescent="0.2">
      <c r="A38" s="794" t="s">
        <v>775</v>
      </c>
      <c r="B38" s="795"/>
      <c r="C38" s="795"/>
      <c r="D38" s="795"/>
      <c r="E38" s="795"/>
      <c r="F38" s="795"/>
      <c r="G38" s="795"/>
      <c r="H38" s="795"/>
      <c r="I38" s="795"/>
      <c r="J38" s="795"/>
      <c r="K38" s="795"/>
      <c r="L38" s="799">
        <v>400</v>
      </c>
      <c r="M38" s="799"/>
      <c r="N38" s="795" t="s">
        <v>776</v>
      </c>
      <c r="O38" s="795"/>
      <c r="P38" s="795"/>
      <c r="Q38" s="795"/>
      <c r="R38" s="795"/>
      <c r="S38" s="795"/>
      <c r="T38" s="795"/>
      <c r="U38" s="800">
        <v>1.07</v>
      </c>
      <c r="V38" s="800"/>
      <c r="W38" s="800"/>
      <c r="X38" s="801"/>
    </row>
    <row r="39" spans="1:24" ht="12.6" customHeight="1" x14ac:dyDescent="0.2">
      <c r="A39" s="794" t="s">
        <v>777</v>
      </c>
      <c r="B39" s="795"/>
      <c r="C39" s="795"/>
      <c r="D39" s="795"/>
      <c r="E39" s="795"/>
      <c r="F39" s="795"/>
      <c r="G39" s="795"/>
      <c r="H39" s="795"/>
      <c r="I39" s="795"/>
      <c r="J39" s="795"/>
      <c r="K39" s="795"/>
      <c r="L39" s="800">
        <v>20</v>
      </c>
      <c r="M39" s="800"/>
      <c r="N39" s="795" t="s">
        <v>778</v>
      </c>
      <c r="O39" s="795"/>
      <c r="P39" s="795"/>
      <c r="Q39" s="795"/>
      <c r="R39" s="795"/>
      <c r="S39" s="795"/>
      <c r="T39" s="797">
        <v>0.6</v>
      </c>
      <c r="U39" s="797"/>
      <c r="V39" s="797"/>
      <c r="W39" s="797"/>
      <c r="X39" s="798"/>
    </row>
    <row r="40" spans="1:24" ht="12.6" customHeight="1" thickBot="1" x14ac:dyDescent="0.25">
      <c r="A40" s="802" t="s">
        <v>779</v>
      </c>
      <c r="B40" s="803"/>
      <c r="C40" s="803"/>
      <c r="D40" s="803"/>
      <c r="E40" s="803"/>
      <c r="F40" s="803"/>
      <c r="G40" s="803"/>
      <c r="H40" s="803"/>
      <c r="I40" s="804">
        <v>6.95</v>
      </c>
      <c r="J40" s="804"/>
      <c r="K40" s="804"/>
      <c r="L40" s="804"/>
      <c r="M40" s="804"/>
      <c r="N40" s="803" t="s">
        <v>780</v>
      </c>
      <c r="O40" s="803"/>
      <c r="P40" s="803"/>
      <c r="Q40" s="803"/>
      <c r="R40" s="803"/>
      <c r="S40" s="805">
        <v>3.6</v>
      </c>
      <c r="T40" s="805"/>
      <c r="U40" s="803" t="s">
        <v>38</v>
      </c>
      <c r="V40" s="803"/>
      <c r="W40" s="803"/>
      <c r="X40" s="587">
        <v>8.33</v>
      </c>
    </row>
    <row r="41" spans="1:24" ht="12.6" customHeight="1" thickBot="1" x14ac:dyDescent="0.25">
      <c r="A41" s="787" t="s">
        <v>39</v>
      </c>
      <c r="B41" s="788"/>
      <c r="C41" s="788"/>
      <c r="D41" s="788"/>
      <c r="E41" s="788"/>
      <c r="F41" s="788"/>
      <c r="G41" s="788"/>
      <c r="H41" s="788"/>
      <c r="I41" s="788"/>
      <c r="J41" s="788"/>
      <c r="K41" s="788"/>
      <c r="L41" s="788"/>
      <c r="M41" s="788"/>
      <c r="N41" s="788"/>
      <c r="O41" s="788"/>
      <c r="P41" s="788"/>
      <c r="Q41" s="788"/>
      <c r="R41" s="788"/>
      <c r="S41" s="788"/>
      <c r="T41" s="788"/>
      <c r="U41" s="788"/>
      <c r="V41" s="788"/>
      <c r="W41" s="788"/>
      <c r="X41" s="789"/>
    </row>
    <row r="42" spans="1:24" ht="12.6" customHeight="1" x14ac:dyDescent="0.2">
      <c r="A42" s="806" t="s">
        <v>782</v>
      </c>
      <c r="B42" s="807"/>
      <c r="C42" s="807"/>
      <c r="D42" s="807"/>
      <c r="E42" s="807"/>
      <c r="F42" s="807"/>
      <c r="G42" s="807"/>
      <c r="H42" s="807"/>
      <c r="I42" s="807"/>
      <c r="J42" s="807"/>
      <c r="K42" s="807"/>
      <c r="L42" s="807"/>
      <c r="M42" s="738" t="s">
        <v>781</v>
      </c>
      <c r="N42" s="738"/>
      <c r="O42" s="738"/>
      <c r="P42" s="738"/>
      <c r="Q42" s="738"/>
      <c r="R42" s="738"/>
      <c r="S42" s="738"/>
      <c r="T42" s="738"/>
      <c r="U42" s="738"/>
      <c r="V42" s="738"/>
      <c r="W42" s="738"/>
      <c r="X42" s="739"/>
    </row>
    <row r="43" spans="1:24" ht="12.6" customHeight="1" x14ac:dyDescent="0.2">
      <c r="A43" s="808" t="s">
        <v>783</v>
      </c>
      <c r="B43" s="809"/>
      <c r="C43" s="809"/>
      <c r="D43" s="809"/>
      <c r="E43" s="809"/>
      <c r="F43" s="809"/>
      <c r="G43" s="809"/>
      <c r="H43" s="809"/>
      <c r="I43" s="809"/>
      <c r="J43" s="809"/>
      <c r="K43" s="809"/>
      <c r="L43" s="809"/>
      <c r="M43" s="809"/>
      <c r="N43" s="809"/>
      <c r="O43" s="809"/>
      <c r="P43" s="809"/>
      <c r="Q43" s="809"/>
      <c r="R43" s="809"/>
      <c r="S43" s="809"/>
      <c r="T43" s="809"/>
      <c r="U43" s="809"/>
      <c r="V43" s="809"/>
      <c r="W43" s="809"/>
      <c r="X43" s="810"/>
    </row>
    <row r="44" spans="1:24" ht="12.6" customHeight="1" x14ac:dyDescent="0.2">
      <c r="A44" s="588" t="s">
        <v>809</v>
      </c>
      <c r="B44" s="589"/>
      <c r="C44" s="589"/>
      <c r="D44" s="809" t="s">
        <v>813</v>
      </c>
      <c r="E44" s="809"/>
      <c r="F44" s="809"/>
      <c r="G44" s="809"/>
      <c r="H44" s="809"/>
      <c r="I44" s="809"/>
      <c r="J44" s="809"/>
      <c r="K44" s="809"/>
      <c r="L44" s="809"/>
      <c r="M44" s="809"/>
      <c r="N44" s="809"/>
      <c r="O44" s="809"/>
      <c r="P44" s="809"/>
      <c r="Q44" s="809"/>
      <c r="R44" s="809"/>
      <c r="S44" s="809"/>
      <c r="T44" s="809"/>
      <c r="U44" s="809"/>
      <c r="V44" s="809"/>
      <c r="W44" s="809"/>
      <c r="X44" s="810"/>
    </row>
    <row r="45" spans="1:24" ht="12.6" customHeight="1" x14ac:dyDescent="0.2">
      <c r="A45" s="794" t="s">
        <v>40</v>
      </c>
      <c r="B45" s="795"/>
      <c r="C45" s="795"/>
      <c r="D45" s="795"/>
      <c r="E45" s="795"/>
      <c r="F45" s="795"/>
      <c r="G45" s="795"/>
      <c r="H45" s="811">
        <f>IF('MC2'!B4="x",NBR!I10,IT!I10)</f>
        <v>2.5</v>
      </c>
      <c r="I45" s="812"/>
      <c r="J45" s="812"/>
      <c r="K45" s="812"/>
      <c r="L45" s="812"/>
      <c r="M45" s="812"/>
      <c r="N45" s="812"/>
      <c r="O45" s="812"/>
      <c r="P45" s="812"/>
      <c r="Q45" s="812"/>
      <c r="R45" s="812"/>
      <c r="S45" s="812"/>
      <c r="T45" s="812"/>
      <c r="U45" s="812"/>
      <c r="V45" s="812"/>
      <c r="W45" s="812"/>
      <c r="X45" s="813"/>
    </row>
    <row r="46" spans="1:24" ht="12.6" customHeight="1" x14ac:dyDescent="0.2">
      <c r="A46" s="794" t="s">
        <v>41</v>
      </c>
      <c r="B46" s="795"/>
      <c r="C46" s="795"/>
      <c r="D46" s="795"/>
      <c r="E46" s="795"/>
      <c r="F46" s="795"/>
      <c r="G46" s="795"/>
      <c r="H46" s="795"/>
      <c r="I46" s="795"/>
      <c r="J46" s="795"/>
      <c r="K46" s="812">
        <v>400</v>
      </c>
      <c r="L46" s="812"/>
      <c r="M46" s="812"/>
      <c r="N46" s="812"/>
      <c r="O46" s="812"/>
      <c r="P46" s="812"/>
      <c r="Q46" s="812"/>
      <c r="R46" s="812"/>
      <c r="S46" s="812"/>
      <c r="T46" s="812"/>
      <c r="U46" s="812"/>
      <c r="V46" s="812"/>
      <c r="W46" s="812"/>
      <c r="X46" s="813"/>
    </row>
    <row r="47" spans="1:24" ht="12.6" customHeight="1" x14ac:dyDescent="0.2">
      <c r="A47" s="794" t="s">
        <v>42</v>
      </c>
      <c r="B47" s="795"/>
      <c r="C47" s="795"/>
      <c r="D47" s="795"/>
      <c r="E47" s="795"/>
      <c r="F47" s="795"/>
      <c r="G47" s="795"/>
      <c r="H47" s="795"/>
      <c r="I47" s="795"/>
      <c r="J47" s="795"/>
      <c r="K47" s="814">
        <v>50.8</v>
      </c>
      <c r="L47" s="814"/>
      <c r="M47" s="814"/>
      <c r="N47" s="814"/>
      <c r="O47" s="814"/>
      <c r="P47" s="814"/>
      <c r="Q47" s="814"/>
      <c r="R47" s="814"/>
      <c r="S47" s="814"/>
      <c r="T47" s="814"/>
      <c r="U47" s="814"/>
      <c r="V47" s="814"/>
      <c r="W47" s="814"/>
      <c r="X47" s="815"/>
    </row>
    <row r="48" spans="1:24" ht="12.6" customHeight="1" x14ac:dyDescent="0.2">
      <c r="A48" s="794" t="s">
        <v>43</v>
      </c>
      <c r="B48" s="795"/>
      <c r="C48" s="795"/>
      <c r="D48" s="795"/>
      <c r="E48" s="795"/>
      <c r="F48" s="795"/>
      <c r="G48" s="795"/>
      <c r="H48" s="814">
        <v>79.099999999999994</v>
      </c>
      <c r="I48" s="814"/>
      <c r="J48" s="814"/>
      <c r="K48" s="814"/>
      <c r="L48" s="814"/>
      <c r="M48" s="814"/>
      <c r="N48" s="814"/>
      <c r="O48" s="814"/>
      <c r="P48" s="814"/>
      <c r="Q48" s="814"/>
      <c r="R48" s="814"/>
      <c r="S48" s="814"/>
      <c r="T48" s="814"/>
      <c r="U48" s="814"/>
      <c r="V48" s="814"/>
      <c r="W48" s="814"/>
      <c r="X48" s="815"/>
    </row>
    <row r="49" spans="1:24" ht="12.6" customHeight="1" x14ac:dyDescent="0.2">
      <c r="A49" s="794" t="s">
        <v>44</v>
      </c>
      <c r="B49" s="795"/>
      <c r="C49" s="795"/>
      <c r="D49" s="795"/>
      <c r="E49" s="795"/>
      <c r="F49" s="795"/>
      <c r="G49" s="816">
        <v>9.6671999999999994E-2</v>
      </c>
      <c r="H49" s="816"/>
      <c r="I49" s="816"/>
      <c r="J49" s="816"/>
      <c r="K49" s="816"/>
      <c r="L49" s="816"/>
      <c r="M49" s="816"/>
      <c r="N49" s="816"/>
      <c r="O49" s="816"/>
      <c r="P49" s="816"/>
      <c r="Q49" s="816"/>
      <c r="R49" s="816"/>
      <c r="S49" s="816"/>
      <c r="T49" s="816"/>
      <c r="U49" s="816"/>
      <c r="V49" s="816"/>
      <c r="W49" s="816"/>
      <c r="X49" s="817"/>
    </row>
    <row r="50" spans="1:24" ht="12.6" customHeight="1" thickBot="1" x14ac:dyDescent="0.25">
      <c r="A50" s="794" t="s">
        <v>45</v>
      </c>
      <c r="B50" s="795"/>
      <c r="C50" s="795"/>
      <c r="D50" s="795"/>
      <c r="E50" s="795"/>
      <c r="F50" s="795"/>
      <c r="G50" s="800">
        <v>12.56</v>
      </c>
      <c r="H50" s="800"/>
      <c r="I50" s="800"/>
      <c r="J50" s="800"/>
      <c r="K50" s="800"/>
      <c r="L50" s="800"/>
      <c r="M50" s="800"/>
      <c r="N50" s="800"/>
      <c r="O50" s="800"/>
      <c r="P50" s="800"/>
      <c r="Q50" s="800"/>
      <c r="R50" s="800"/>
      <c r="S50" s="800"/>
      <c r="T50" s="800"/>
      <c r="U50" s="800"/>
      <c r="V50" s="800"/>
      <c r="W50" s="800"/>
      <c r="X50" s="801"/>
    </row>
    <row r="51" spans="1:24" ht="6" hidden="1" customHeight="1" thickBot="1" x14ac:dyDescent="0.25">
      <c r="A51" s="579"/>
      <c r="B51" s="533"/>
      <c r="C51" s="533"/>
      <c r="D51" s="533"/>
      <c r="E51" s="533"/>
      <c r="F51" s="533"/>
      <c r="G51" s="580"/>
      <c r="H51" s="580"/>
      <c r="I51" s="580"/>
      <c r="J51" s="580"/>
      <c r="K51" s="580"/>
      <c r="L51" s="580"/>
      <c r="M51" s="580"/>
      <c r="N51" s="580"/>
      <c r="O51" s="580"/>
      <c r="P51" s="580"/>
      <c r="Q51" s="580"/>
      <c r="R51" s="580"/>
      <c r="S51" s="580"/>
      <c r="T51" s="580"/>
      <c r="U51" s="580"/>
      <c r="V51" s="580"/>
      <c r="W51" s="580"/>
      <c r="X51" s="581"/>
    </row>
    <row r="52" spans="1:24" ht="12.6" customHeight="1" x14ac:dyDescent="0.2">
      <c r="A52" s="818" t="s">
        <v>784</v>
      </c>
      <c r="B52" s="819"/>
      <c r="C52" s="819"/>
      <c r="D52" s="819"/>
      <c r="E52" s="819"/>
      <c r="F52" s="819"/>
      <c r="G52" s="819"/>
      <c r="H52" s="819"/>
      <c r="I52" s="819"/>
      <c r="J52" s="819"/>
      <c r="K52" s="819"/>
      <c r="L52" s="819"/>
      <c r="M52" s="819"/>
      <c r="N52" s="819"/>
      <c r="O52" s="819"/>
      <c r="P52" s="819"/>
      <c r="Q52" s="819"/>
      <c r="R52" s="819"/>
      <c r="S52" s="819"/>
      <c r="T52" s="819"/>
      <c r="U52" s="819"/>
      <c r="V52" s="819"/>
      <c r="W52" s="819"/>
      <c r="X52" s="820"/>
    </row>
    <row r="53" spans="1:24" ht="12.6" customHeight="1" x14ac:dyDescent="0.2">
      <c r="A53" s="758" t="s">
        <v>804</v>
      </c>
      <c r="B53" s="759"/>
      <c r="C53" s="759"/>
      <c r="D53" s="759"/>
      <c r="E53" s="809"/>
      <c r="F53" s="809"/>
      <c r="G53" s="809"/>
      <c r="H53" s="809"/>
      <c r="I53" s="809"/>
      <c r="J53" s="809"/>
      <c r="K53" s="809"/>
      <c r="L53" s="821"/>
      <c r="M53" s="822" t="s">
        <v>805</v>
      </c>
      <c r="N53" s="809"/>
      <c r="O53" s="809"/>
      <c r="P53" s="809"/>
      <c r="Q53" s="809"/>
      <c r="R53" s="809"/>
      <c r="S53" s="809"/>
      <c r="T53" s="809"/>
      <c r="U53" s="809"/>
      <c r="V53" s="809"/>
      <c r="W53" s="809"/>
      <c r="X53" s="810"/>
    </row>
    <row r="54" spans="1:24" ht="12.6" customHeight="1" x14ac:dyDescent="0.2">
      <c r="A54" s="823" t="s">
        <v>40</v>
      </c>
      <c r="B54" s="824"/>
      <c r="C54" s="824"/>
      <c r="D54" s="824"/>
      <c r="E54" s="825"/>
      <c r="F54" s="825"/>
      <c r="G54" s="825"/>
      <c r="H54" s="826"/>
      <c r="I54" s="795"/>
      <c r="J54" s="795"/>
      <c r="K54" s="795"/>
      <c r="L54" s="795"/>
      <c r="M54" s="827" t="s">
        <v>40</v>
      </c>
      <c r="N54" s="825"/>
      <c r="O54" s="825"/>
      <c r="P54" s="825"/>
      <c r="Q54" s="825"/>
      <c r="R54" s="825"/>
      <c r="S54" s="825"/>
      <c r="T54" s="796"/>
      <c r="U54" s="797"/>
      <c r="V54" s="797"/>
      <c r="W54" s="797"/>
      <c r="X54" s="798"/>
    </row>
    <row r="55" spans="1:24" ht="12.6" customHeight="1" x14ac:dyDescent="0.2">
      <c r="A55" s="828" t="s">
        <v>41</v>
      </c>
      <c r="B55" s="825"/>
      <c r="C55" s="825"/>
      <c r="D55" s="825"/>
      <c r="E55" s="825"/>
      <c r="F55" s="825"/>
      <c r="G55" s="825"/>
      <c r="H55" s="825"/>
      <c r="I55" s="825"/>
      <c r="J55" s="825"/>
      <c r="K55" s="829"/>
      <c r="L55" s="830"/>
      <c r="M55" s="827" t="s">
        <v>41</v>
      </c>
      <c r="N55" s="825"/>
      <c r="O55" s="825"/>
      <c r="P55" s="825"/>
      <c r="Q55" s="825"/>
      <c r="R55" s="825"/>
      <c r="S55" s="825"/>
      <c r="T55" s="825"/>
      <c r="U55" s="825"/>
      <c r="V55" s="825"/>
      <c r="W55" s="829"/>
      <c r="X55" s="831"/>
    </row>
    <row r="56" spans="1:24" ht="12.6" customHeight="1" x14ac:dyDescent="0.2">
      <c r="A56" s="828" t="s">
        <v>42</v>
      </c>
      <c r="B56" s="825"/>
      <c r="C56" s="825"/>
      <c r="D56" s="825"/>
      <c r="E56" s="825"/>
      <c r="F56" s="825"/>
      <c r="G56" s="825"/>
      <c r="H56" s="825"/>
      <c r="I56" s="825"/>
      <c r="J56" s="825"/>
      <c r="K56" s="832"/>
      <c r="L56" s="833"/>
      <c r="M56" s="827" t="s">
        <v>42</v>
      </c>
      <c r="N56" s="825"/>
      <c r="O56" s="825"/>
      <c r="P56" s="825"/>
      <c r="Q56" s="825"/>
      <c r="R56" s="825"/>
      <c r="S56" s="825"/>
      <c r="T56" s="825"/>
      <c r="U56" s="825"/>
      <c r="V56" s="825"/>
      <c r="W56" s="834"/>
      <c r="X56" s="835"/>
    </row>
    <row r="57" spans="1:24" ht="12.6" customHeight="1" x14ac:dyDescent="0.2">
      <c r="A57" s="828" t="s">
        <v>43</v>
      </c>
      <c r="B57" s="825"/>
      <c r="C57" s="825"/>
      <c r="D57" s="825"/>
      <c r="E57" s="825"/>
      <c r="F57" s="825"/>
      <c r="G57" s="825"/>
      <c r="H57" s="832"/>
      <c r="I57" s="832"/>
      <c r="J57" s="832"/>
      <c r="K57" s="832"/>
      <c r="L57" s="833"/>
      <c r="M57" s="827" t="s">
        <v>43</v>
      </c>
      <c r="N57" s="825"/>
      <c r="O57" s="825"/>
      <c r="P57" s="825"/>
      <c r="Q57" s="825"/>
      <c r="R57" s="825"/>
      <c r="S57" s="825"/>
      <c r="T57" s="834"/>
      <c r="U57" s="834"/>
      <c r="V57" s="834"/>
      <c r="W57" s="834"/>
      <c r="X57" s="835"/>
    </row>
    <row r="58" spans="1:24" ht="12.6" customHeight="1" x14ac:dyDescent="0.2">
      <c r="A58" s="828" t="s">
        <v>44</v>
      </c>
      <c r="B58" s="825"/>
      <c r="C58" s="825"/>
      <c r="D58" s="825"/>
      <c r="E58" s="825"/>
      <c r="F58" s="825"/>
      <c r="G58" s="836"/>
      <c r="H58" s="836"/>
      <c r="I58" s="836"/>
      <c r="J58" s="836"/>
      <c r="K58" s="836"/>
      <c r="L58" s="837"/>
      <c r="M58" s="827" t="s">
        <v>44</v>
      </c>
      <c r="N58" s="825"/>
      <c r="O58" s="825"/>
      <c r="P58" s="825"/>
      <c r="Q58" s="825"/>
      <c r="R58" s="825"/>
      <c r="S58" s="836"/>
      <c r="T58" s="836"/>
      <c r="U58" s="836"/>
      <c r="V58" s="836"/>
      <c r="W58" s="836"/>
      <c r="X58" s="838"/>
    </row>
    <row r="59" spans="1:24" ht="12.6" customHeight="1" x14ac:dyDescent="0.2">
      <c r="A59" s="828" t="s">
        <v>45</v>
      </c>
      <c r="B59" s="825"/>
      <c r="C59" s="825"/>
      <c r="D59" s="825"/>
      <c r="E59" s="825"/>
      <c r="F59" s="825"/>
      <c r="G59" s="832"/>
      <c r="H59" s="832"/>
      <c r="I59" s="832"/>
      <c r="J59" s="832"/>
      <c r="K59" s="832"/>
      <c r="L59" s="833"/>
      <c r="M59" s="827" t="s">
        <v>45</v>
      </c>
      <c r="N59" s="825"/>
      <c r="O59" s="825"/>
      <c r="P59" s="825"/>
      <c r="Q59" s="825"/>
      <c r="R59" s="825"/>
      <c r="S59" s="832"/>
      <c r="T59" s="832"/>
      <c r="U59" s="832"/>
      <c r="V59" s="832"/>
      <c r="W59" s="832"/>
      <c r="X59" s="839"/>
    </row>
    <row r="60" spans="1:24" ht="6" hidden="1" customHeight="1" x14ac:dyDescent="0.2">
      <c r="A60" s="840"/>
      <c r="B60" s="841"/>
      <c r="C60" s="841"/>
      <c r="D60" s="841"/>
      <c r="E60" s="841"/>
      <c r="F60" s="841"/>
      <c r="G60" s="841"/>
      <c r="H60" s="841"/>
      <c r="I60" s="841"/>
      <c r="J60" s="841"/>
      <c r="K60" s="841"/>
      <c r="L60" s="842"/>
      <c r="M60" s="843"/>
      <c r="N60" s="841"/>
      <c r="O60" s="841"/>
      <c r="P60" s="841"/>
      <c r="Q60" s="841"/>
      <c r="R60" s="841"/>
      <c r="S60" s="841"/>
      <c r="T60" s="841"/>
      <c r="U60" s="841"/>
      <c r="V60" s="841"/>
      <c r="W60" s="841"/>
      <c r="X60" s="844"/>
    </row>
    <row r="61" spans="1:24" ht="12.6" customHeight="1" x14ac:dyDescent="0.2">
      <c r="A61" s="845" t="s">
        <v>806</v>
      </c>
      <c r="B61" s="846"/>
      <c r="C61" s="846"/>
      <c r="D61" s="846"/>
      <c r="E61" s="846"/>
      <c r="F61" s="846"/>
      <c r="G61" s="846"/>
      <c r="H61" s="846"/>
      <c r="I61" s="846"/>
      <c r="J61" s="846"/>
      <c r="K61" s="846"/>
      <c r="L61" s="847"/>
      <c r="M61" s="848" t="s">
        <v>807</v>
      </c>
      <c r="N61" s="846"/>
      <c r="O61" s="846"/>
      <c r="P61" s="846"/>
      <c r="Q61" s="846"/>
      <c r="R61" s="846"/>
      <c r="S61" s="846"/>
      <c r="T61" s="846"/>
      <c r="U61" s="846"/>
      <c r="V61" s="846"/>
      <c r="W61" s="846"/>
      <c r="X61" s="849"/>
    </row>
    <row r="62" spans="1:24" ht="12.6" customHeight="1" x14ac:dyDescent="0.2">
      <c r="A62" s="823" t="s">
        <v>40</v>
      </c>
      <c r="B62" s="824"/>
      <c r="C62" s="824"/>
      <c r="D62" s="824"/>
      <c r="E62" s="824"/>
      <c r="F62" s="824"/>
      <c r="G62" s="824"/>
      <c r="H62" s="796"/>
      <c r="I62" s="797"/>
      <c r="J62" s="797"/>
      <c r="K62" s="797"/>
      <c r="L62" s="797"/>
      <c r="M62" s="850" t="s">
        <v>40</v>
      </c>
      <c r="N62" s="824"/>
      <c r="O62" s="824"/>
      <c r="P62" s="824"/>
      <c r="Q62" s="824"/>
      <c r="R62" s="824"/>
      <c r="S62" s="824"/>
      <c r="T62" s="851"/>
      <c r="U62" s="851"/>
      <c r="V62" s="851"/>
      <c r="W62" s="851"/>
      <c r="X62" s="852"/>
    </row>
    <row r="63" spans="1:24" ht="12.6" customHeight="1" x14ac:dyDescent="0.2">
      <c r="A63" s="828" t="s">
        <v>41</v>
      </c>
      <c r="B63" s="825"/>
      <c r="C63" s="825"/>
      <c r="D63" s="825"/>
      <c r="E63" s="825"/>
      <c r="F63" s="825"/>
      <c r="G63" s="825"/>
      <c r="H63" s="825"/>
      <c r="I63" s="825"/>
      <c r="J63" s="825"/>
      <c r="K63" s="829"/>
      <c r="L63" s="830"/>
      <c r="M63" s="827" t="s">
        <v>41</v>
      </c>
      <c r="N63" s="825"/>
      <c r="O63" s="825"/>
      <c r="P63" s="825"/>
      <c r="Q63" s="825"/>
      <c r="R63" s="825"/>
      <c r="S63" s="825"/>
      <c r="T63" s="825"/>
      <c r="U63" s="825"/>
      <c r="V63" s="825"/>
      <c r="W63" s="853"/>
      <c r="X63" s="854"/>
    </row>
    <row r="64" spans="1:24" ht="12.6" customHeight="1" x14ac:dyDescent="0.2">
      <c r="A64" s="828" t="s">
        <v>42</v>
      </c>
      <c r="B64" s="825"/>
      <c r="C64" s="825"/>
      <c r="D64" s="825"/>
      <c r="E64" s="825"/>
      <c r="F64" s="825"/>
      <c r="G64" s="825"/>
      <c r="H64" s="825"/>
      <c r="I64" s="825"/>
      <c r="J64" s="825"/>
      <c r="K64" s="834"/>
      <c r="L64" s="855"/>
      <c r="M64" s="827" t="s">
        <v>42</v>
      </c>
      <c r="N64" s="825"/>
      <c r="O64" s="825"/>
      <c r="P64" s="825"/>
      <c r="Q64" s="825"/>
      <c r="R64" s="825"/>
      <c r="S64" s="825"/>
      <c r="T64" s="825"/>
      <c r="U64" s="825"/>
      <c r="V64" s="825"/>
      <c r="W64" s="856"/>
      <c r="X64" s="857"/>
    </row>
    <row r="65" spans="1:24" ht="12.6" customHeight="1" x14ac:dyDescent="0.2">
      <c r="A65" s="828" t="s">
        <v>43</v>
      </c>
      <c r="B65" s="825"/>
      <c r="C65" s="825"/>
      <c r="D65" s="825"/>
      <c r="E65" s="825"/>
      <c r="F65" s="825"/>
      <c r="G65" s="825"/>
      <c r="H65" s="834"/>
      <c r="I65" s="834"/>
      <c r="J65" s="834"/>
      <c r="K65" s="834"/>
      <c r="L65" s="855"/>
      <c r="M65" s="827" t="s">
        <v>43</v>
      </c>
      <c r="N65" s="825"/>
      <c r="O65" s="825"/>
      <c r="P65" s="825"/>
      <c r="Q65" s="825"/>
      <c r="R65" s="825"/>
      <c r="S65" s="825"/>
      <c r="T65" s="856"/>
      <c r="U65" s="856"/>
      <c r="V65" s="856"/>
      <c r="W65" s="856"/>
      <c r="X65" s="857"/>
    </row>
    <row r="66" spans="1:24" ht="12.6" customHeight="1" x14ac:dyDescent="0.2">
      <c r="A66" s="828" t="s">
        <v>44</v>
      </c>
      <c r="B66" s="825"/>
      <c r="C66" s="825"/>
      <c r="D66" s="825"/>
      <c r="E66" s="825"/>
      <c r="F66" s="825"/>
      <c r="G66" s="858"/>
      <c r="H66" s="858"/>
      <c r="I66" s="858"/>
      <c r="J66" s="858"/>
      <c r="K66" s="858"/>
      <c r="L66" s="859"/>
      <c r="M66" s="827" t="s">
        <v>44</v>
      </c>
      <c r="N66" s="825"/>
      <c r="O66" s="825"/>
      <c r="P66" s="825"/>
      <c r="Q66" s="825"/>
      <c r="R66" s="825"/>
      <c r="S66" s="860"/>
      <c r="T66" s="860"/>
      <c r="U66" s="860"/>
      <c r="V66" s="860"/>
      <c r="W66" s="860"/>
      <c r="X66" s="861"/>
    </row>
    <row r="67" spans="1:24" ht="12.6" customHeight="1" x14ac:dyDescent="0.2">
      <c r="A67" s="828" t="s">
        <v>45</v>
      </c>
      <c r="B67" s="825"/>
      <c r="C67" s="825"/>
      <c r="D67" s="825"/>
      <c r="E67" s="825"/>
      <c r="F67" s="825"/>
      <c r="G67" s="832"/>
      <c r="H67" s="832"/>
      <c r="I67" s="832"/>
      <c r="J67" s="832"/>
      <c r="K67" s="832"/>
      <c r="L67" s="862"/>
      <c r="M67" s="825" t="s">
        <v>45</v>
      </c>
      <c r="N67" s="825"/>
      <c r="O67" s="825"/>
      <c r="P67" s="825"/>
      <c r="Q67" s="825"/>
      <c r="R67" s="825"/>
      <c r="S67" s="863"/>
      <c r="T67" s="863"/>
      <c r="U67" s="863"/>
      <c r="V67" s="863"/>
      <c r="W67" s="863"/>
      <c r="X67" s="864"/>
    </row>
    <row r="68" spans="1:24" ht="6" customHeight="1" x14ac:dyDescent="0.2">
      <c r="A68" s="582"/>
      <c r="B68" s="532"/>
      <c r="C68" s="532"/>
      <c r="D68" s="532"/>
      <c r="E68" s="532"/>
      <c r="F68" s="532"/>
      <c r="G68" s="583"/>
      <c r="H68" s="583"/>
      <c r="I68" s="583"/>
      <c r="J68" s="583"/>
      <c r="K68" s="583"/>
      <c r="L68" s="584"/>
      <c r="M68" s="532"/>
      <c r="N68" s="532"/>
      <c r="O68" s="532"/>
      <c r="P68" s="532"/>
      <c r="Q68" s="532"/>
      <c r="R68" s="532"/>
      <c r="S68" s="583"/>
      <c r="T68" s="583"/>
      <c r="U68" s="583"/>
      <c r="V68" s="583"/>
      <c r="W68" s="583"/>
      <c r="X68" s="585"/>
    </row>
    <row r="69" spans="1:24" ht="7.5" customHeight="1" x14ac:dyDescent="0.2">
      <c r="A69" s="865" t="s">
        <v>46</v>
      </c>
      <c r="B69" s="866"/>
      <c r="C69" s="866"/>
      <c r="D69" s="866"/>
      <c r="E69" s="866"/>
      <c r="F69" s="866"/>
      <c r="G69" s="866"/>
      <c r="H69" s="866"/>
      <c r="I69" s="866"/>
      <c r="J69" s="866"/>
      <c r="K69" s="866"/>
      <c r="L69" s="866"/>
      <c r="M69" s="866"/>
      <c r="N69" s="866"/>
      <c r="O69" s="866"/>
      <c r="P69" s="866"/>
      <c r="Q69" s="866"/>
      <c r="R69" s="866"/>
      <c r="S69" s="866"/>
      <c r="T69" s="866"/>
      <c r="U69" s="866"/>
      <c r="V69" s="866"/>
      <c r="W69" s="866"/>
      <c r="X69" s="867"/>
    </row>
    <row r="70" spans="1:24" ht="17.25" customHeight="1" x14ac:dyDescent="0.2">
      <c r="A70" s="868"/>
      <c r="B70" s="869"/>
      <c r="C70" s="869"/>
      <c r="D70" s="869"/>
      <c r="E70" s="869"/>
      <c r="F70" s="869"/>
      <c r="G70" s="869"/>
      <c r="H70" s="869"/>
      <c r="I70" s="869"/>
      <c r="J70" s="869"/>
      <c r="K70" s="869"/>
      <c r="L70" s="869"/>
      <c r="M70" s="869"/>
      <c r="N70" s="869"/>
      <c r="O70" s="869"/>
      <c r="P70" s="869"/>
      <c r="Q70" s="869"/>
      <c r="R70" s="869"/>
      <c r="S70" s="869"/>
      <c r="T70" s="869"/>
      <c r="U70" s="869"/>
      <c r="V70" s="869"/>
      <c r="W70" s="869"/>
      <c r="X70" s="870"/>
    </row>
    <row r="71" spans="1:24" ht="12.6" customHeight="1" thickBot="1" x14ac:dyDescent="0.25">
      <c r="A71" s="871" t="s">
        <v>808</v>
      </c>
      <c r="B71" s="872"/>
      <c r="C71" s="872"/>
      <c r="D71" s="872"/>
      <c r="E71" s="872"/>
      <c r="F71" s="872"/>
      <c r="G71" s="872"/>
      <c r="H71" s="872"/>
      <c r="I71" s="872"/>
      <c r="J71" s="872"/>
      <c r="K71" s="872"/>
      <c r="L71" s="872"/>
      <c r="M71" s="872"/>
      <c r="N71" s="872"/>
      <c r="O71" s="872"/>
      <c r="P71" s="872"/>
      <c r="Q71" s="872"/>
      <c r="R71" s="872"/>
      <c r="S71" s="872"/>
      <c r="T71" s="872"/>
      <c r="U71" s="872"/>
      <c r="V71" s="873">
        <f>G50</f>
        <v>12.56</v>
      </c>
      <c r="W71" s="873"/>
      <c r="X71" s="874"/>
    </row>
    <row r="72" spans="1:24" ht="12.6" customHeight="1" x14ac:dyDescent="0.2"/>
    <row r="73" spans="1:24" ht="12.6" customHeight="1" x14ac:dyDescent="0.2">
      <c r="V73" s="586"/>
      <c r="X73" s="152"/>
    </row>
    <row r="74" spans="1:24" ht="12.6" customHeight="1" x14ac:dyDescent="0.2"/>
  </sheetData>
  <mergeCells count="157">
    <mergeCell ref="A67:F67"/>
    <mergeCell ref="G67:L67"/>
    <mergeCell ref="M67:R67"/>
    <mergeCell ref="S67:X67"/>
    <mergeCell ref="A69:X70"/>
    <mergeCell ref="A71:U71"/>
    <mergeCell ref="V71:X71"/>
    <mergeCell ref="A65:G65"/>
    <mergeCell ref="H65:L65"/>
    <mergeCell ref="M65:S65"/>
    <mergeCell ref="T65:X65"/>
    <mergeCell ref="A66:F66"/>
    <mergeCell ref="G66:L66"/>
    <mergeCell ref="M66:R66"/>
    <mergeCell ref="S66:X66"/>
    <mergeCell ref="A63:J63"/>
    <mergeCell ref="K63:L63"/>
    <mergeCell ref="M63:V63"/>
    <mergeCell ref="W63:X63"/>
    <mergeCell ref="A64:J64"/>
    <mergeCell ref="K64:L64"/>
    <mergeCell ref="M64:V64"/>
    <mergeCell ref="W64:X64"/>
    <mergeCell ref="A60:L60"/>
    <mergeCell ref="M60:X60"/>
    <mergeCell ref="A61:L61"/>
    <mergeCell ref="M61:X61"/>
    <mergeCell ref="A62:G62"/>
    <mergeCell ref="H62:L62"/>
    <mergeCell ref="M62:S62"/>
    <mergeCell ref="T62:X62"/>
    <mergeCell ref="A58:F58"/>
    <mergeCell ref="G58:L58"/>
    <mergeCell ref="M58:R58"/>
    <mergeCell ref="S58:X58"/>
    <mergeCell ref="A59:F59"/>
    <mergeCell ref="G59:L59"/>
    <mergeCell ref="M59:R59"/>
    <mergeCell ref="S59:X59"/>
    <mergeCell ref="A56:J56"/>
    <mergeCell ref="K56:L56"/>
    <mergeCell ref="M56:V56"/>
    <mergeCell ref="W56:X56"/>
    <mergeCell ref="A57:G57"/>
    <mergeCell ref="H57:L57"/>
    <mergeCell ref="M57:S57"/>
    <mergeCell ref="T57:X57"/>
    <mergeCell ref="A54:G54"/>
    <mergeCell ref="H54:L54"/>
    <mergeCell ref="M54:S54"/>
    <mergeCell ref="T54:X54"/>
    <mergeCell ref="A55:J55"/>
    <mergeCell ref="K55:L55"/>
    <mergeCell ref="M55:V55"/>
    <mergeCell ref="W55:X55"/>
    <mergeCell ref="A49:F49"/>
    <mergeCell ref="G49:X49"/>
    <mergeCell ref="A50:F50"/>
    <mergeCell ref="G50:X50"/>
    <mergeCell ref="A52:X52"/>
    <mergeCell ref="A53:D53"/>
    <mergeCell ref="E53:L53"/>
    <mergeCell ref="M53:R53"/>
    <mergeCell ref="S53:X53"/>
    <mergeCell ref="A46:J46"/>
    <mergeCell ref="K46:X46"/>
    <mergeCell ref="A47:J47"/>
    <mergeCell ref="K47:X47"/>
    <mergeCell ref="A48:G48"/>
    <mergeCell ref="H48:X48"/>
    <mergeCell ref="A41:X41"/>
    <mergeCell ref="A42:L42"/>
    <mergeCell ref="M42:X42"/>
    <mergeCell ref="A43:X43"/>
    <mergeCell ref="A45:G45"/>
    <mergeCell ref="H45:X45"/>
    <mergeCell ref="D44:X44"/>
    <mergeCell ref="A39:K39"/>
    <mergeCell ref="L39:M39"/>
    <mergeCell ref="N39:S39"/>
    <mergeCell ref="T39:X39"/>
    <mergeCell ref="A40:H40"/>
    <mergeCell ref="I40:M40"/>
    <mergeCell ref="N40:R40"/>
    <mergeCell ref="S40:T40"/>
    <mergeCell ref="U40:W40"/>
    <mergeCell ref="A37:H37"/>
    <mergeCell ref="I37:M37"/>
    <mergeCell ref="N37:T37"/>
    <mergeCell ref="U37:X37"/>
    <mergeCell ref="A38:K38"/>
    <mergeCell ref="L38:M38"/>
    <mergeCell ref="N38:T38"/>
    <mergeCell ref="U38:X38"/>
    <mergeCell ref="A34:F34"/>
    <mergeCell ref="G34:L34"/>
    <mergeCell ref="M34:U34"/>
    <mergeCell ref="A35:X35"/>
    <mergeCell ref="A36:L36"/>
    <mergeCell ref="M36:X36"/>
    <mergeCell ref="V34:X34"/>
    <mergeCell ref="A30:X30"/>
    <mergeCell ref="A32:F32"/>
    <mergeCell ref="I32:K32"/>
    <mergeCell ref="N32:Q32"/>
    <mergeCell ref="U32:V32"/>
    <mergeCell ref="A33:K33"/>
    <mergeCell ref="L33:X33"/>
    <mergeCell ref="W26:X26"/>
    <mergeCell ref="A27:W27"/>
    <mergeCell ref="D28:H28"/>
    <mergeCell ref="K28:L28"/>
    <mergeCell ref="P28:Q28"/>
    <mergeCell ref="U28:V28"/>
    <mergeCell ref="W20:X20"/>
    <mergeCell ref="I23:K23"/>
    <mergeCell ref="R23:T23"/>
    <mergeCell ref="N24:Q24"/>
    <mergeCell ref="R24:S24"/>
    <mergeCell ref="W24:X24"/>
    <mergeCell ref="W23:X23"/>
    <mergeCell ref="A13:S13"/>
    <mergeCell ref="T13:X13"/>
    <mergeCell ref="A14:X14"/>
    <mergeCell ref="A16:G16"/>
    <mergeCell ref="I16:J16"/>
    <mergeCell ref="A19:G20"/>
    <mergeCell ref="K19:M19"/>
    <mergeCell ref="N19:Q19"/>
    <mergeCell ref="K20:M20"/>
    <mergeCell ref="N20:Q20"/>
    <mergeCell ref="A11:F11"/>
    <mergeCell ref="G11:P11"/>
    <mergeCell ref="Q11:U11"/>
    <mergeCell ref="V11:X11"/>
    <mergeCell ref="A12:G12"/>
    <mergeCell ref="H12:J12"/>
    <mergeCell ref="A9:C9"/>
    <mergeCell ref="D9:P9"/>
    <mergeCell ref="Q9:S9"/>
    <mergeCell ref="T9:X9"/>
    <mergeCell ref="A10:D10"/>
    <mergeCell ref="E10:X10"/>
    <mergeCell ref="A6:X6"/>
    <mergeCell ref="A7:E7"/>
    <mergeCell ref="F7:X7"/>
    <mergeCell ref="A8:D8"/>
    <mergeCell ref="E8:P8"/>
    <mergeCell ref="Q8:R8"/>
    <mergeCell ref="S8:X8"/>
    <mergeCell ref="A1:C3"/>
    <mergeCell ref="D1:H3"/>
    <mergeCell ref="I1:X3"/>
    <mergeCell ref="A4:X4"/>
    <mergeCell ref="A5:F5"/>
    <mergeCell ref="G5:S5"/>
    <mergeCell ref="T5:X5"/>
  </mergeCells>
  <printOptions horizontalCentered="1" verticalCentered="1"/>
  <pageMargins left="0.23622047244094491" right="0.23622047244094491" top="0.38541666666666669" bottom="0.74803149606299213" header="0.31496062992125984" footer="0.31496062992125984"/>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 sqref="B2:C2"/>
    </sheetView>
  </sheetViews>
  <sheetFormatPr defaultColWidth="9.42578125" defaultRowHeight="14.25" x14ac:dyDescent="0.2"/>
  <cols>
    <col min="1" max="1" width="21.42578125" style="159" customWidth="1"/>
    <col min="2" max="2" width="3" style="159" customWidth="1"/>
    <col min="3" max="3" width="5.5703125" style="159" customWidth="1"/>
    <col min="4" max="4" width="4.5703125" style="159" customWidth="1"/>
    <col min="5" max="5" width="10.42578125" style="159" customWidth="1"/>
    <col min="6" max="6" width="7.42578125" style="159" customWidth="1"/>
    <col min="7" max="7" width="10.42578125" style="159" customWidth="1"/>
    <col min="8" max="9" width="9.42578125" style="159"/>
    <col min="10" max="10" width="9.42578125" style="159" customWidth="1"/>
    <col min="11" max="11" width="3.42578125" style="159" customWidth="1"/>
    <col min="12" max="17" width="9.42578125" style="159"/>
    <col min="18" max="18" width="33.5703125" style="159" customWidth="1"/>
    <col min="19" max="16384" width="9.42578125" style="159"/>
  </cols>
  <sheetData>
    <row r="1" spans="1:19" ht="15" x14ac:dyDescent="0.25">
      <c r="A1" s="160"/>
      <c r="B1" s="160"/>
      <c r="C1" s="160"/>
      <c r="D1" s="1309" t="s">
        <v>12</v>
      </c>
      <c r="E1" s="1309"/>
      <c r="F1" s="162" t="e">
        <f>#REF!</f>
        <v>#REF!</v>
      </c>
      <c r="G1" s="163" t="s">
        <v>13</v>
      </c>
      <c r="H1" s="162" t="e">
        <f>#REF!</f>
        <v>#REF!</v>
      </c>
      <c r="I1" s="161" t="s">
        <v>13</v>
      </c>
      <c r="J1" s="162" t="e">
        <f>#REF!</f>
        <v>#REF!</v>
      </c>
    </row>
    <row r="3" spans="1:19" x14ac:dyDescent="0.2">
      <c r="A3" s="1302" t="s">
        <v>309</v>
      </c>
      <c r="B3" s="1302"/>
      <c r="C3" s="1302"/>
      <c r="D3" s="1302"/>
      <c r="E3" s="1302"/>
      <c r="F3" s="1302"/>
      <c r="G3" s="1302"/>
    </row>
    <row r="4" spans="1:19" ht="15" x14ac:dyDescent="0.2">
      <c r="A4" s="1307" t="s">
        <v>310</v>
      </c>
      <c r="B4" s="1307"/>
      <c r="C4" s="1307"/>
      <c r="D4" s="1307"/>
      <c r="E4" s="1307"/>
      <c r="F4" s="1307"/>
    </row>
    <row r="7" spans="1:19" x14ac:dyDescent="0.2">
      <c r="A7" s="1302" t="s">
        <v>311</v>
      </c>
      <c r="B7" s="1302"/>
      <c r="C7" s="1302"/>
      <c r="D7" s="1302"/>
      <c r="E7" s="1302"/>
      <c r="F7" s="1302"/>
    </row>
    <row r="9" spans="1:19" x14ac:dyDescent="0.2">
      <c r="A9" s="1305" t="s">
        <v>312</v>
      </c>
      <c r="B9" s="1305"/>
      <c r="C9" s="1305"/>
      <c r="D9" s="1305"/>
      <c r="E9" s="1305"/>
      <c r="F9" s="1305"/>
      <c r="G9" s="1305"/>
      <c r="H9" s="1305"/>
      <c r="I9" s="1305"/>
      <c r="J9" s="1305"/>
    </row>
    <row r="10" spans="1:19" x14ac:dyDescent="0.2">
      <c r="A10" s="1305" t="s">
        <v>313</v>
      </c>
      <c r="B10" s="1305"/>
      <c r="C10" s="1305"/>
      <c r="D10" s="1305"/>
      <c r="E10" s="1305"/>
      <c r="N10" s="1305" t="s">
        <v>314</v>
      </c>
      <c r="O10" s="1305"/>
      <c r="P10" s="1305"/>
      <c r="Q10" s="1305"/>
      <c r="R10" s="1305"/>
    </row>
    <row r="11" spans="1:19" ht="15" x14ac:dyDescent="0.25">
      <c r="A11" s="165" t="s">
        <v>315</v>
      </c>
      <c r="B11" s="166" t="e">
        <f>#REF!</f>
        <v>#REF!</v>
      </c>
      <c r="D11" s="166"/>
      <c r="E11" s="166"/>
      <c r="F11" s="166"/>
      <c r="G11" s="166"/>
      <c r="H11" s="167"/>
      <c r="I11" s="167"/>
      <c r="J11" s="167"/>
      <c r="N11" s="1305" t="s">
        <v>316</v>
      </c>
      <c r="O11" s="1305"/>
      <c r="P11" s="1305"/>
      <c r="Q11" s="1305"/>
      <c r="R11" s="1305"/>
    </row>
    <row r="12" spans="1:19" ht="17.100000000000001" customHeight="1" x14ac:dyDescent="0.2">
      <c r="A12" s="165" t="s">
        <v>103</v>
      </c>
      <c r="B12" s="1307" t="e">
        <f>#REF!</f>
        <v>#REF!</v>
      </c>
      <c r="C12" s="1307"/>
      <c r="D12" s="1307"/>
      <c r="E12" s="1307"/>
      <c r="F12" s="1307"/>
      <c r="G12" s="1307"/>
      <c r="H12" s="1307"/>
      <c r="I12" s="1307"/>
      <c r="J12" s="167"/>
      <c r="N12" s="1302" t="s">
        <v>317</v>
      </c>
      <c r="O12" s="1302"/>
      <c r="P12" s="1302"/>
      <c r="Q12" s="1302"/>
      <c r="R12" s="1302"/>
    </row>
    <row r="13" spans="1:19" ht="15" x14ac:dyDescent="0.25">
      <c r="A13" s="167" t="s">
        <v>318</v>
      </c>
      <c r="B13" s="160" t="e">
        <f>#REF!</f>
        <v>#REF!</v>
      </c>
      <c r="C13" s="160"/>
      <c r="N13" s="1302" t="s">
        <v>319</v>
      </c>
      <c r="O13" s="1302"/>
      <c r="P13" s="1302"/>
      <c r="Q13" s="1302"/>
      <c r="R13" s="1302"/>
    </row>
    <row r="14" spans="1:19" ht="15" x14ac:dyDescent="0.25">
      <c r="A14" s="167" t="s">
        <v>4</v>
      </c>
      <c r="B14" s="1308" t="e">
        <f>#REF!</f>
        <v>#REF!</v>
      </c>
      <c r="C14" s="1308"/>
      <c r="D14" s="1308"/>
      <c r="E14" s="1308"/>
      <c r="N14" s="1305"/>
      <c r="O14" s="1305"/>
      <c r="P14" s="1305"/>
      <c r="Q14" s="1305"/>
      <c r="R14" s="1305"/>
      <c r="S14" s="1305"/>
    </row>
    <row r="15" spans="1:19" ht="15" x14ac:dyDescent="0.25">
      <c r="A15" s="167" t="s">
        <v>320</v>
      </c>
      <c r="B15" s="1306" t="e">
        <f>#REF!</f>
        <v>#REF!</v>
      </c>
      <c r="C15" s="1306"/>
      <c r="D15" s="1306"/>
      <c r="E15" s="168" t="s">
        <v>321</v>
      </c>
      <c r="F15" s="168"/>
      <c r="G15" s="168"/>
      <c r="H15" s="168"/>
      <c r="N15" s="1302" t="s">
        <v>322</v>
      </c>
      <c r="O15" s="1302"/>
      <c r="P15" s="1302"/>
      <c r="Q15" s="1302"/>
      <c r="R15" s="1302"/>
    </row>
    <row r="16" spans="1:19" x14ac:dyDescent="0.2">
      <c r="A16" s="167"/>
      <c r="B16" s="167"/>
      <c r="C16" s="167"/>
      <c r="N16" s="1302" t="s">
        <v>323</v>
      </c>
      <c r="O16" s="1302"/>
      <c r="P16" s="1302"/>
      <c r="Q16" s="1302"/>
      <c r="R16" s="1302"/>
    </row>
    <row r="17" spans="1:19" x14ac:dyDescent="0.2">
      <c r="A17" s="159" t="s">
        <v>324</v>
      </c>
    </row>
    <row r="18" spans="1:19" x14ac:dyDescent="0.2">
      <c r="N18" s="1305" t="s">
        <v>325</v>
      </c>
      <c r="O18" s="1305"/>
      <c r="P18" s="1305"/>
      <c r="Q18" s="1305"/>
      <c r="R18" s="1305"/>
    </row>
    <row r="19" spans="1:19" x14ac:dyDescent="0.2">
      <c r="B19" s="169" t="s">
        <v>326</v>
      </c>
      <c r="C19" s="165" t="s">
        <v>327</v>
      </c>
      <c r="D19" s="165" t="s">
        <v>438</v>
      </c>
      <c r="E19" s="165" t="s">
        <v>329</v>
      </c>
      <c r="F19" s="165" t="s">
        <v>330</v>
      </c>
      <c r="N19" s="1305" t="s">
        <v>316</v>
      </c>
      <c r="O19" s="1305"/>
      <c r="P19" s="1305"/>
      <c r="Q19" s="1305"/>
      <c r="R19" s="1305"/>
    </row>
    <row r="20" spans="1:19" x14ac:dyDescent="0.2">
      <c r="B20" s="169" t="s">
        <v>326</v>
      </c>
      <c r="C20" s="165" t="s">
        <v>327</v>
      </c>
      <c r="D20" s="165" t="s">
        <v>438</v>
      </c>
      <c r="E20" s="165" t="s">
        <v>329</v>
      </c>
      <c r="F20" s="165" t="s">
        <v>332</v>
      </c>
      <c r="N20" s="1302" t="s">
        <v>317</v>
      </c>
      <c r="O20" s="1302"/>
      <c r="P20" s="1302"/>
      <c r="Q20" s="1302"/>
      <c r="R20" s="1302"/>
    </row>
    <row r="21" spans="1:19" x14ac:dyDescent="0.2">
      <c r="B21" s="169" t="s">
        <v>10</v>
      </c>
      <c r="C21" s="165" t="s">
        <v>327</v>
      </c>
      <c r="D21" s="165" t="s">
        <v>439</v>
      </c>
      <c r="E21" s="165" t="s">
        <v>329</v>
      </c>
      <c r="F21" s="165" t="s">
        <v>334</v>
      </c>
      <c r="N21" s="1305" t="s">
        <v>335</v>
      </c>
      <c r="O21" s="1305"/>
      <c r="P21" s="1305"/>
      <c r="Q21" s="1305"/>
      <c r="R21" s="1305"/>
      <c r="S21" s="1305"/>
    </row>
    <row r="22" spans="1:19" x14ac:dyDescent="0.2">
      <c r="B22" s="169" t="s">
        <v>10</v>
      </c>
      <c r="C22" s="165" t="s">
        <v>327</v>
      </c>
      <c r="D22" s="165" t="s">
        <v>439</v>
      </c>
      <c r="E22" s="165" t="s">
        <v>329</v>
      </c>
      <c r="F22" s="165" t="s">
        <v>337</v>
      </c>
      <c r="N22" s="1302" t="s">
        <v>338</v>
      </c>
      <c r="O22" s="1302"/>
      <c r="P22" s="1302"/>
      <c r="Q22" s="1302"/>
      <c r="R22" s="1302"/>
    </row>
    <row r="23" spans="1:19" x14ac:dyDescent="0.2">
      <c r="B23" s="169" t="s">
        <v>326</v>
      </c>
      <c r="C23" s="165" t="s">
        <v>339</v>
      </c>
      <c r="D23" s="165" t="s">
        <v>340</v>
      </c>
      <c r="E23" s="165"/>
      <c r="F23" s="165"/>
      <c r="G23" s="165"/>
      <c r="N23" s="1302" t="s">
        <v>322</v>
      </c>
      <c r="O23" s="1302"/>
      <c r="P23" s="1302"/>
      <c r="Q23" s="1302"/>
      <c r="R23" s="1302"/>
    </row>
    <row r="24" spans="1:19" x14ac:dyDescent="0.2">
      <c r="B24" s="169" t="s">
        <v>326</v>
      </c>
      <c r="C24" s="165" t="s">
        <v>339</v>
      </c>
      <c r="D24" s="165" t="s">
        <v>341</v>
      </c>
      <c r="E24" s="167"/>
      <c r="F24" s="167"/>
      <c r="N24" s="1302" t="s">
        <v>323</v>
      </c>
      <c r="O24" s="1302"/>
      <c r="P24" s="1302"/>
      <c r="Q24" s="1302"/>
      <c r="R24" s="1302"/>
    </row>
    <row r="25" spans="1:19" x14ac:dyDescent="0.2">
      <c r="B25" s="169" t="s">
        <v>10</v>
      </c>
      <c r="C25" s="165" t="s">
        <v>339</v>
      </c>
      <c r="D25" s="165" t="s">
        <v>342</v>
      </c>
      <c r="E25" s="167"/>
      <c r="F25" s="167"/>
    </row>
    <row r="26" spans="1:19" x14ac:dyDescent="0.2">
      <c r="B26" s="169" t="s">
        <v>10</v>
      </c>
      <c r="C26" s="165" t="s">
        <v>339</v>
      </c>
      <c r="D26" s="165" t="s">
        <v>343</v>
      </c>
      <c r="E26" s="167"/>
      <c r="F26" s="167"/>
    </row>
    <row r="27" spans="1:19" x14ac:dyDescent="0.2">
      <c r="B27" s="169" t="s">
        <v>326</v>
      </c>
      <c r="C27" s="165" t="s">
        <v>339</v>
      </c>
      <c r="D27" s="165" t="s">
        <v>344</v>
      </c>
      <c r="E27" s="167"/>
      <c r="F27" s="167"/>
    </row>
    <row r="28" spans="1:19" x14ac:dyDescent="0.2">
      <c r="B28" s="169" t="s">
        <v>326</v>
      </c>
      <c r="C28" s="165" t="s">
        <v>339</v>
      </c>
      <c r="D28" s="165" t="s">
        <v>345</v>
      </c>
      <c r="E28" s="167" t="s">
        <v>346</v>
      </c>
      <c r="F28" s="167"/>
    </row>
    <row r="29" spans="1:19" x14ac:dyDescent="0.2">
      <c r="B29" s="169" t="s">
        <v>10</v>
      </c>
      <c r="C29" s="165" t="s">
        <v>339</v>
      </c>
      <c r="D29" s="165" t="s">
        <v>345</v>
      </c>
      <c r="E29" s="167" t="s">
        <v>347</v>
      </c>
      <c r="F29" s="167"/>
    </row>
    <row r="30" spans="1:19" x14ac:dyDescent="0.2">
      <c r="B30" s="169" t="s">
        <v>10</v>
      </c>
      <c r="C30" s="165" t="s">
        <v>339</v>
      </c>
      <c r="D30" s="165" t="s">
        <v>345</v>
      </c>
      <c r="E30" s="167" t="s">
        <v>348</v>
      </c>
      <c r="F30" s="167"/>
    </row>
    <row r="31" spans="1:19" x14ac:dyDescent="0.2">
      <c r="B31" s="169" t="s">
        <v>10</v>
      </c>
      <c r="C31" s="165" t="s">
        <v>339</v>
      </c>
      <c r="D31" s="165" t="s">
        <v>345</v>
      </c>
      <c r="E31" s="167" t="s">
        <v>349</v>
      </c>
    </row>
    <row r="32" spans="1:19" x14ac:dyDescent="0.2">
      <c r="B32" s="169" t="s">
        <v>10</v>
      </c>
      <c r="C32" s="165" t="s">
        <v>339</v>
      </c>
      <c r="D32" s="165" t="s">
        <v>345</v>
      </c>
      <c r="E32" s="167" t="s">
        <v>350</v>
      </c>
    </row>
    <row r="33" spans="1:18" x14ac:dyDescent="0.2">
      <c r="B33" s="169"/>
      <c r="C33" s="165"/>
      <c r="D33" s="165"/>
      <c r="E33" s="167"/>
    </row>
    <row r="34" spans="1:18" x14ac:dyDescent="0.2">
      <c r="C34" s="1301" t="s">
        <v>351</v>
      </c>
      <c r="D34" s="1301"/>
      <c r="E34" s="1301"/>
      <c r="F34" s="1301"/>
      <c r="G34" s="1301"/>
      <c r="N34" s="1305" t="s">
        <v>352</v>
      </c>
      <c r="O34" s="1305"/>
      <c r="P34" s="1305"/>
      <c r="Q34" s="1305"/>
      <c r="R34" s="1305"/>
    </row>
    <row r="35" spans="1:18" x14ac:dyDescent="0.2">
      <c r="N35" s="1305" t="s">
        <v>353</v>
      </c>
      <c r="O35" s="1305"/>
      <c r="P35" s="1305"/>
      <c r="Q35" s="1305"/>
      <c r="R35" s="1305"/>
    </row>
    <row r="36" spans="1:18" x14ac:dyDescent="0.2">
      <c r="N36" s="1305" t="s">
        <v>354</v>
      </c>
      <c r="O36" s="1305"/>
      <c r="P36" s="1305"/>
      <c r="Q36" s="1305"/>
      <c r="R36" s="1305"/>
    </row>
    <row r="37" spans="1:18" x14ac:dyDescent="0.2">
      <c r="N37" s="167" t="s">
        <v>355</v>
      </c>
      <c r="O37" s="165"/>
      <c r="P37" s="165"/>
      <c r="Q37" s="165"/>
      <c r="R37" s="165"/>
    </row>
    <row r="38" spans="1:18" x14ac:dyDescent="0.2">
      <c r="D38" s="212" t="e">
        <f>NPSH!C35</f>
        <v>#REF!</v>
      </c>
      <c r="E38" s="212"/>
      <c r="F38" s="212"/>
      <c r="G38" s="212"/>
      <c r="N38" s="167" t="s">
        <v>357</v>
      </c>
      <c r="O38" s="167"/>
      <c r="P38" s="167"/>
      <c r="Q38" s="167"/>
      <c r="R38" s="167"/>
    </row>
    <row r="39" spans="1:18" x14ac:dyDescent="0.2">
      <c r="D39" s="1301" t="e">
        <f>CONCATENATE(NPSH!C36," ",NPSH!D36)</f>
        <v>#REF!</v>
      </c>
      <c r="E39" s="1301"/>
      <c r="F39" s="1301"/>
      <c r="G39" s="1301"/>
      <c r="N39" s="167" t="s">
        <v>359</v>
      </c>
      <c r="O39" s="167"/>
      <c r="P39" s="167"/>
      <c r="Q39" s="167"/>
      <c r="R39" s="167"/>
    </row>
    <row r="40" spans="1:18" x14ac:dyDescent="0.2">
      <c r="D40" s="1301" t="s">
        <v>440</v>
      </c>
      <c r="E40" s="1301"/>
      <c r="F40" s="1301"/>
      <c r="G40" s="1301"/>
      <c r="N40" s="170" t="s">
        <v>361</v>
      </c>
    </row>
    <row r="41" spans="1:18" x14ac:dyDescent="0.2">
      <c r="D41" s="1301" t="s">
        <v>441</v>
      </c>
      <c r="E41" s="1301"/>
      <c r="F41" s="1301"/>
      <c r="G41" s="1301"/>
      <c r="N41" s="171" t="s">
        <v>363</v>
      </c>
    </row>
    <row r="42" spans="1:18" x14ac:dyDescent="0.2">
      <c r="D42" s="1301" t="e">
        <f>CONCATENATE("E-mail: ",#REF!)</f>
        <v>#REF!</v>
      </c>
      <c r="E42" s="1301"/>
      <c r="F42" s="1301"/>
      <c r="G42" s="1301"/>
      <c r="N42" s="167" t="s">
        <v>365</v>
      </c>
    </row>
    <row r="43" spans="1:18" x14ac:dyDescent="0.2">
      <c r="N43" s="167" t="s">
        <v>366</v>
      </c>
    </row>
    <row r="44" spans="1:18" x14ac:dyDescent="0.2">
      <c r="N44" s="167" t="s">
        <v>367</v>
      </c>
    </row>
    <row r="46" spans="1:18" x14ac:dyDescent="0.2">
      <c r="A46" s="1301" t="s">
        <v>368</v>
      </c>
      <c r="B46" s="1301"/>
      <c r="C46" s="1301"/>
      <c r="D46" s="1301"/>
      <c r="G46" s="1302" t="s">
        <v>369</v>
      </c>
      <c r="H46" s="1302"/>
      <c r="I46" s="1302"/>
      <c r="J46" s="1302"/>
    </row>
    <row r="48" spans="1:18" x14ac:dyDescent="0.2">
      <c r="A48" s="1303" t="s">
        <v>370</v>
      </c>
      <c r="B48" s="1303"/>
      <c r="C48" s="1303"/>
      <c r="D48" s="1303"/>
    </row>
    <row r="49" spans="1:4" x14ac:dyDescent="0.2">
      <c r="A49" s="1304" t="s">
        <v>371</v>
      </c>
      <c r="B49" s="1304"/>
      <c r="C49" s="1304"/>
      <c r="D49" s="1304"/>
    </row>
    <row r="50" spans="1:4" x14ac:dyDescent="0.2">
      <c r="A50" s="1303" t="s">
        <v>370</v>
      </c>
      <c r="B50" s="1303"/>
      <c r="C50" s="1303"/>
      <c r="D50" s="1303"/>
    </row>
    <row r="51" spans="1:4" x14ac:dyDescent="0.2">
      <c r="A51" s="1301" t="s">
        <v>372</v>
      </c>
      <c r="B51" s="1301"/>
      <c r="C51" s="1301"/>
      <c r="D51" s="1301"/>
    </row>
  </sheetData>
  <sheetProtection selectLockedCells="1" selectUnlockedCells="1"/>
  <mergeCells count="37">
    <mergeCell ref="D1:E1"/>
    <mergeCell ref="A3:G3"/>
    <mergeCell ref="A4:F4"/>
    <mergeCell ref="A7:F7"/>
    <mergeCell ref="A9:J9"/>
    <mergeCell ref="A10:E10"/>
    <mergeCell ref="B15:D15"/>
    <mergeCell ref="N10:R10"/>
    <mergeCell ref="N11:R11"/>
    <mergeCell ref="B12:I12"/>
    <mergeCell ref="N12:R12"/>
    <mergeCell ref="N13:R13"/>
    <mergeCell ref="B14:E14"/>
    <mergeCell ref="N14:S14"/>
    <mergeCell ref="N34:R34"/>
    <mergeCell ref="N15:R15"/>
    <mergeCell ref="N16:R16"/>
    <mergeCell ref="N18:R18"/>
    <mergeCell ref="N19:R19"/>
    <mergeCell ref="N20:R20"/>
    <mergeCell ref="N35:R35"/>
    <mergeCell ref="N36:R36"/>
    <mergeCell ref="D39:G39"/>
    <mergeCell ref="D40:G40"/>
    <mergeCell ref="D41:G41"/>
    <mergeCell ref="N21:S21"/>
    <mergeCell ref="N22:R22"/>
    <mergeCell ref="N23:R23"/>
    <mergeCell ref="N24:R24"/>
    <mergeCell ref="C34:G34"/>
    <mergeCell ref="A51:D51"/>
    <mergeCell ref="D42:G42"/>
    <mergeCell ref="A46:D46"/>
    <mergeCell ref="G46:J46"/>
    <mergeCell ref="A48:D48"/>
    <mergeCell ref="A49:D49"/>
    <mergeCell ref="A50:D50"/>
  </mergeCells>
  <pageMargins left="0.82" right="0.25" top="0.75" bottom="0.75" header="0.53"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 sqref="B2:C2"/>
    </sheetView>
  </sheetViews>
  <sheetFormatPr defaultColWidth="9.42578125" defaultRowHeight="14.25" x14ac:dyDescent="0.2"/>
  <cols>
    <col min="1" max="1" width="18.42578125" style="159" customWidth="1"/>
    <col min="2" max="2" width="3" style="159" customWidth="1"/>
    <col min="3" max="3" width="5.5703125" style="159" customWidth="1"/>
    <col min="4" max="4" width="4.5703125" style="159" customWidth="1"/>
    <col min="5" max="5" width="9.42578125" style="159"/>
    <col min="6" max="6" width="7.42578125" style="159" customWidth="1"/>
    <col min="7" max="7" width="11.5703125" style="159" customWidth="1"/>
    <col min="8" max="10" width="9.42578125" style="159"/>
    <col min="11" max="11" width="3.42578125" style="159" customWidth="1"/>
    <col min="12" max="16384" width="9.42578125" style="159"/>
  </cols>
  <sheetData>
    <row r="1" spans="1:18" ht="15" x14ac:dyDescent="0.25">
      <c r="A1" s="160"/>
      <c r="B1" s="160"/>
      <c r="C1" s="160"/>
      <c r="D1" s="1309" t="s">
        <v>12</v>
      </c>
      <c r="E1" s="1309"/>
      <c r="F1" s="162">
        <v>17</v>
      </c>
      <c r="G1" s="163" t="s">
        <v>13</v>
      </c>
      <c r="H1" s="163" t="e">
        <f>'Carta CBM'!H1</f>
        <v>#REF!</v>
      </c>
      <c r="I1" s="161" t="s">
        <v>13</v>
      </c>
      <c r="J1" s="164" t="e">
        <f>'Carta CBM'!J1</f>
        <v>#REF!</v>
      </c>
    </row>
    <row r="3" spans="1:18" x14ac:dyDescent="0.2">
      <c r="A3" s="1302" t="s">
        <v>373</v>
      </c>
      <c r="B3" s="1302"/>
      <c r="C3" s="1302"/>
      <c r="D3" s="1302"/>
      <c r="E3" s="1302"/>
      <c r="F3" s="1302"/>
      <c r="G3" s="1302"/>
    </row>
    <row r="4" spans="1:18" x14ac:dyDescent="0.2">
      <c r="A4" s="165" t="str">
        <f>'Carta CBM'!A4:F4</f>
        <v>CAT – Centro de Atividades Técnicas</v>
      </c>
      <c r="B4" s="165"/>
      <c r="C4" s="165"/>
      <c r="D4" s="165"/>
      <c r="E4" s="165"/>
      <c r="F4" s="165"/>
    </row>
    <row r="6" spans="1:18" x14ac:dyDescent="0.2">
      <c r="A6" s="1305" t="s">
        <v>374</v>
      </c>
      <c r="B6" s="1305"/>
      <c r="C6" s="1305"/>
      <c r="D6" s="1305"/>
      <c r="E6" s="1305"/>
      <c r="F6" s="1305"/>
      <c r="G6" s="1305"/>
      <c r="H6" s="1305"/>
      <c r="I6" s="1305"/>
      <c r="J6" s="1305"/>
    </row>
    <row r="7" spans="1:18" x14ac:dyDescent="0.2">
      <c r="A7" s="165" t="s">
        <v>313</v>
      </c>
      <c r="B7" s="165"/>
      <c r="C7" s="165"/>
      <c r="D7" s="165"/>
      <c r="E7" s="165"/>
    </row>
    <row r="8" spans="1:18" ht="15" x14ac:dyDescent="0.25">
      <c r="A8" s="1305" t="s">
        <v>315</v>
      </c>
      <c r="B8" s="1305"/>
      <c r="C8" s="166" t="e">
        <f>'Carta CBM'!B11</f>
        <v>#REF!</v>
      </c>
      <c r="D8" s="166"/>
      <c r="E8" s="166"/>
      <c r="F8" s="166"/>
      <c r="G8" s="166"/>
      <c r="H8" s="167"/>
      <c r="I8" s="167"/>
      <c r="J8" s="167"/>
    </row>
    <row r="9" spans="1:18" ht="17.100000000000001" customHeight="1" x14ac:dyDescent="0.2">
      <c r="A9" s="165" t="s">
        <v>103</v>
      </c>
      <c r="C9" s="172" t="e">
        <f>'Carta CBM'!B12</f>
        <v>#REF!</v>
      </c>
      <c r="D9" s="172"/>
      <c r="E9" s="172"/>
      <c r="F9" s="172"/>
      <c r="G9" s="172"/>
      <c r="H9" s="172"/>
      <c r="I9" s="172"/>
      <c r="J9" s="167"/>
    </row>
    <row r="10" spans="1:18" ht="15" x14ac:dyDescent="0.25">
      <c r="A10" s="167" t="s">
        <v>318</v>
      </c>
      <c r="C10" s="160" t="e">
        <f>'Carta CBM'!B13</f>
        <v>#REF!</v>
      </c>
    </row>
    <row r="11" spans="1:18" ht="15" x14ac:dyDescent="0.25">
      <c r="A11" s="167" t="s">
        <v>4</v>
      </c>
      <c r="C11" s="160" t="e">
        <f>'Carta CBM'!B14</f>
        <v>#REF!</v>
      </c>
      <c r="D11" s="160"/>
      <c r="E11" s="160"/>
    </row>
    <row r="12" spans="1:18" ht="15" x14ac:dyDescent="0.25">
      <c r="A12" s="1302" t="s">
        <v>320</v>
      </c>
      <c r="B12" s="1302"/>
      <c r="C12" s="1310" t="e">
        <f>'Carta CBM'!B15</f>
        <v>#REF!</v>
      </c>
      <c r="D12" s="1310"/>
      <c r="E12" s="168" t="s">
        <v>321</v>
      </c>
      <c r="F12" s="173"/>
      <c r="G12" s="173"/>
      <c r="H12" s="173"/>
      <c r="I12" s="173"/>
    </row>
    <row r="13" spans="1:18" x14ac:dyDescent="0.2">
      <c r="A13" s="167"/>
      <c r="B13" s="167"/>
      <c r="C13" s="167"/>
    </row>
    <row r="14" spans="1:18" x14ac:dyDescent="0.2">
      <c r="A14" s="159" t="s">
        <v>375</v>
      </c>
    </row>
    <row r="15" spans="1:18" x14ac:dyDescent="0.2">
      <c r="B15" s="169" t="s">
        <v>376</v>
      </c>
      <c r="C15" s="165" t="s">
        <v>327</v>
      </c>
      <c r="D15" s="165" t="s">
        <v>328</v>
      </c>
      <c r="E15" s="165" t="s">
        <v>329</v>
      </c>
      <c r="F15" s="165" t="s">
        <v>330</v>
      </c>
      <c r="N15" s="1305" t="s">
        <v>314</v>
      </c>
      <c r="O15" s="1305"/>
      <c r="P15" s="1305"/>
      <c r="Q15" s="1305"/>
      <c r="R15" s="1305"/>
    </row>
    <row r="16" spans="1:18" x14ac:dyDescent="0.2">
      <c r="B16" s="169" t="s">
        <v>376</v>
      </c>
      <c r="C16" s="165" t="s">
        <v>327</v>
      </c>
      <c r="D16" s="165" t="s">
        <v>331</v>
      </c>
      <c r="E16" s="165" t="s">
        <v>329</v>
      </c>
      <c r="F16" s="165" t="s">
        <v>332</v>
      </c>
      <c r="N16" s="1305" t="s">
        <v>316</v>
      </c>
      <c r="O16" s="1305"/>
      <c r="P16" s="1305"/>
      <c r="Q16" s="1305"/>
      <c r="R16" s="1305"/>
    </row>
    <row r="17" spans="2:19" x14ac:dyDescent="0.2">
      <c r="B17" s="169" t="s">
        <v>376</v>
      </c>
      <c r="C17" s="165" t="s">
        <v>327</v>
      </c>
      <c r="D17" s="165" t="s">
        <v>333</v>
      </c>
      <c r="E17" s="165" t="s">
        <v>329</v>
      </c>
      <c r="F17" s="165" t="s">
        <v>334</v>
      </c>
      <c r="N17" s="1302" t="s">
        <v>317</v>
      </c>
      <c r="O17" s="1302"/>
      <c r="P17" s="1302"/>
      <c r="Q17" s="1302"/>
      <c r="R17" s="1302"/>
    </row>
    <row r="18" spans="2:19" x14ac:dyDescent="0.2">
      <c r="B18" s="169" t="s">
        <v>376</v>
      </c>
      <c r="C18" s="165" t="s">
        <v>327</v>
      </c>
      <c r="D18" s="165" t="s">
        <v>336</v>
      </c>
      <c r="E18" s="165" t="s">
        <v>329</v>
      </c>
      <c r="F18" s="165" t="s">
        <v>337</v>
      </c>
      <c r="N18" s="1302" t="s">
        <v>338</v>
      </c>
      <c r="O18" s="1302"/>
      <c r="P18" s="1302"/>
      <c r="Q18" s="1302"/>
      <c r="R18" s="1302"/>
    </row>
    <row r="19" spans="2:19" x14ac:dyDescent="0.2">
      <c r="B19" s="169" t="s">
        <v>376</v>
      </c>
      <c r="C19" s="165" t="s">
        <v>339</v>
      </c>
      <c r="D19" s="165" t="s">
        <v>340</v>
      </c>
      <c r="E19" s="165"/>
      <c r="F19" s="165"/>
      <c r="G19" s="165"/>
      <c r="N19" s="1305" t="s">
        <v>335</v>
      </c>
      <c r="O19" s="1305"/>
      <c r="P19" s="1305"/>
      <c r="Q19" s="1305"/>
      <c r="R19" s="1305"/>
      <c r="S19" s="1305"/>
    </row>
    <row r="20" spans="2:19" x14ac:dyDescent="0.2">
      <c r="B20" s="169" t="s">
        <v>376</v>
      </c>
      <c r="C20" s="165" t="s">
        <v>339</v>
      </c>
      <c r="D20" s="165" t="s">
        <v>341</v>
      </c>
      <c r="E20" s="167"/>
      <c r="F20" s="167"/>
      <c r="N20" s="1302" t="s">
        <v>322</v>
      </c>
      <c r="O20" s="1302"/>
      <c r="P20" s="1302"/>
      <c r="Q20" s="1302"/>
      <c r="R20" s="1302"/>
    </row>
    <row r="21" spans="2:19" x14ac:dyDescent="0.2">
      <c r="B21" s="169" t="s">
        <v>376</v>
      </c>
      <c r="C21" s="165" t="s">
        <v>339</v>
      </c>
      <c r="D21" s="165" t="s">
        <v>342</v>
      </c>
      <c r="E21" s="167"/>
      <c r="F21" s="167"/>
      <c r="N21" s="1302" t="s">
        <v>323</v>
      </c>
      <c r="O21" s="1302"/>
      <c r="P21" s="1302"/>
      <c r="Q21" s="1302"/>
      <c r="R21" s="1302"/>
    </row>
    <row r="22" spans="2:19" x14ac:dyDescent="0.2">
      <c r="B22" s="169" t="s">
        <v>376</v>
      </c>
      <c r="C22" s="165" t="s">
        <v>339</v>
      </c>
      <c r="D22" s="165" t="s">
        <v>343</v>
      </c>
      <c r="E22" s="167"/>
      <c r="F22" s="167"/>
    </row>
    <row r="23" spans="2:19" x14ac:dyDescent="0.2">
      <c r="B23" s="169" t="s">
        <v>376</v>
      </c>
      <c r="C23" s="165" t="s">
        <v>339</v>
      </c>
      <c r="D23" s="165" t="s">
        <v>344</v>
      </c>
      <c r="E23" s="167"/>
      <c r="F23" s="167"/>
    </row>
    <row r="24" spans="2:19" x14ac:dyDescent="0.2">
      <c r="B24" s="169" t="s">
        <v>376</v>
      </c>
      <c r="C24" s="165" t="s">
        <v>339</v>
      </c>
      <c r="D24" s="165" t="s">
        <v>345</v>
      </c>
      <c r="E24" s="167" t="s">
        <v>346</v>
      </c>
      <c r="F24" s="167"/>
    </row>
    <row r="25" spans="2:19" x14ac:dyDescent="0.2">
      <c r="B25" s="169" t="s">
        <v>376</v>
      </c>
      <c r="C25" s="165" t="s">
        <v>339</v>
      </c>
      <c r="D25" s="165" t="s">
        <v>345</v>
      </c>
      <c r="E25" s="167" t="s">
        <v>347</v>
      </c>
      <c r="F25" s="167"/>
    </row>
    <row r="26" spans="2:19" x14ac:dyDescent="0.2">
      <c r="B26" s="169" t="s">
        <v>376</v>
      </c>
      <c r="C26" s="165" t="s">
        <v>339</v>
      </c>
      <c r="D26" s="165" t="s">
        <v>345</v>
      </c>
      <c r="E26" s="167" t="s">
        <v>348</v>
      </c>
      <c r="F26" s="167"/>
    </row>
    <row r="27" spans="2:19" x14ac:dyDescent="0.2">
      <c r="B27" s="169" t="s">
        <v>376</v>
      </c>
      <c r="C27" s="165" t="s">
        <v>339</v>
      </c>
      <c r="D27" s="165" t="s">
        <v>345</v>
      </c>
      <c r="E27" s="167" t="s">
        <v>349</v>
      </c>
    </row>
    <row r="28" spans="2:19" x14ac:dyDescent="0.2">
      <c r="B28" s="169" t="s">
        <v>376</v>
      </c>
      <c r="C28" s="165" t="s">
        <v>339</v>
      </c>
      <c r="D28" s="165" t="s">
        <v>345</v>
      </c>
      <c r="E28" s="167" t="s">
        <v>350</v>
      </c>
    </row>
    <row r="34" spans="1:10" x14ac:dyDescent="0.2">
      <c r="C34" s="1301" t="s">
        <v>351</v>
      </c>
      <c r="D34" s="1301"/>
      <c r="E34" s="1301"/>
      <c r="F34" s="1301"/>
      <c r="G34" s="1301"/>
    </row>
    <row r="38" spans="1:10" x14ac:dyDescent="0.2">
      <c r="D38" s="1301" t="s">
        <v>356</v>
      </c>
      <c r="E38" s="1301"/>
      <c r="F38" s="1301"/>
      <c r="G38" s="1301"/>
    </row>
    <row r="39" spans="1:10" x14ac:dyDescent="0.2">
      <c r="D39" s="1301" t="s">
        <v>358</v>
      </c>
      <c r="E39" s="1301"/>
      <c r="F39" s="1301"/>
      <c r="G39" s="1301"/>
    </row>
    <row r="40" spans="1:10" x14ac:dyDescent="0.2">
      <c r="D40" s="1301" t="s">
        <v>360</v>
      </c>
      <c r="E40" s="1301"/>
      <c r="F40" s="1301"/>
      <c r="G40" s="1301"/>
    </row>
    <row r="41" spans="1:10" x14ac:dyDescent="0.2">
      <c r="D41" s="1301" t="s">
        <v>362</v>
      </c>
      <c r="E41" s="1301"/>
      <c r="F41" s="1301"/>
      <c r="G41" s="1301"/>
    </row>
    <row r="42" spans="1:10" x14ac:dyDescent="0.2">
      <c r="D42" s="1301" t="s">
        <v>364</v>
      </c>
      <c r="E42" s="1301"/>
      <c r="F42" s="1301"/>
      <c r="G42" s="1301"/>
    </row>
    <row r="46" spans="1:10" x14ac:dyDescent="0.2">
      <c r="A46" s="1301" t="s">
        <v>368</v>
      </c>
      <c r="B46" s="1301"/>
      <c r="C46" s="1301"/>
      <c r="D46" s="1301"/>
      <c r="G46" s="1302"/>
      <c r="H46" s="1302"/>
      <c r="I46" s="1302"/>
      <c r="J46" s="1302"/>
    </row>
    <row r="48" spans="1:10" x14ac:dyDescent="0.2">
      <c r="A48" s="1303" t="s">
        <v>370</v>
      </c>
      <c r="B48" s="1303"/>
      <c r="C48" s="1303"/>
      <c r="D48" s="1303"/>
    </row>
    <row r="49" spans="1:4" x14ac:dyDescent="0.2">
      <c r="A49" s="1304" t="s">
        <v>371</v>
      </c>
      <c r="B49" s="1304"/>
      <c r="C49" s="1304"/>
      <c r="D49" s="1304"/>
    </row>
    <row r="50" spans="1:4" x14ac:dyDescent="0.2">
      <c r="A50" s="1303" t="s">
        <v>370</v>
      </c>
      <c r="B50" s="1303"/>
      <c r="C50" s="1303"/>
      <c r="D50" s="1303"/>
    </row>
    <row r="51" spans="1:4" x14ac:dyDescent="0.2">
      <c r="A51" s="1301" t="s">
        <v>372</v>
      </c>
      <c r="B51" s="1301"/>
      <c r="C51" s="1301"/>
      <c r="D51" s="1301"/>
    </row>
  </sheetData>
  <sheetProtection selectLockedCells="1" selectUnlockedCells="1"/>
  <mergeCells count="25">
    <mergeCell ref="D1:E1"/>
    <mergeCell ref="A3:G3"/>
    <mergeCell ref="A6:J6"/>
    <mergeCell ref="A8:B8"/>
    <mergeCell ref="A12:B12"/>
    <mergeCell ref="C12:D12"/>
    <mergeCell ref="N15:R15"/>
    <mergeCell ref="N16:R16"/>
    <mergeCell ref="N17:R17"/>
    <mergeCell ref="N18:R18"/>
    <mergeCell ref="N19:S19"/>
    <mergeCell ref="N20:R20"/>
    <mergeCell ref="N21:R21"/>
    <mergeCell ref="C34:G34"/>
    <mergeCell ref="D38:G38"/>
    <mergeCell ref="D39:G39"/>
    <mergeCell ref="D40:G40"/>
    <mergeCell ref="D41:G41"/>
    <mergeCell ref="A51:D51"/>
    <mergeCell ref="D42:G42"/>
    <mergeCell ref="A46:D46"/>
    <mergeCell ref="G46:J46"/>
    <mergeCell ref="A48:D48"/>
    <mergeCell ref="A49:D49"/>
    <mergeCell ref="A50:D50"/>
  </mergeCells>
  <pageMargins left="0.25" right="0.25" top="0.75" bottom="0.75"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showGridLines="0" zoomScaleNormal="115" workbookViewId="0">
      <pane ySplit="9" topLeftCell="A10" activePane="bottomLeft" state="frozen"/>
      <selection activeCell="B2" sqref="B2:C2"/>
      <selection pane="bottomLeft" activeCell="B2" sqref="B2:C2"/>
    </sheetView>
  </sheetViews>
  <sheetFormatPr defaultColWidth="9.42578125" defaultRowHeight="12.75" x14ac:dyDescent="0.2"/>
  <cols>
    <col min="1" max="1" width="5.5703125" style="174" customWidth="1"/>
    <col min="2" max="2" width="2.42578125" style="220" customWidth="1"/>
    <col min="3" max="3" width="56" style="176" customWidth="1"/>
    <col min="4" max="4" width="6.5703125" style="177" customWidth="1"/>
    <col min="5" max="5" width="6.5703125" style="178" customWidth="1"/>
    <col min="6" max="7" width="11.42578125" style="178" customWidth="1"/>
    <col min="8" max="8" width="17.5703125" style="179" hidden="1" customWidth="1"/>
    <col min="9" max="9" width="3.5703125" style="178" customWidth="1"/>
    <col min="10" max="10" width="0" style="178" hidden="1" customWidth="1"/>
    <col min="11" max="11" width="14.5703125" style="177" hidden="1" customWidth="1"/>
    <col min="12" max="12" width="0" style="177" hidden="1" customWidth="1"/>
    <col min="13" max="17" width="0" style="313" hidden="1" customWidth="1"/>
    <col min="18" max="16384" width="9.42578125" style="177"/>
  </cols>
  <sheetData>
    <row r="1" spans="1:17" s="221" customFormat="1" ht="8.25" customHeight="1" x14ac:dyDescent="0.2">
      <c r="A1" s="213"/>
      <c r="B1" s="214"/>
      <c r="C1" s="215"/>
      <c r="D1" s="214"/>
      <c r="E1" s="216"/>
      <c r="F1" s="217"/>
      <c r="G1" s="217"/>
      <c r="H1" s="218"/>
      <c r="I1" s="217"/>
      <c r="J1" s="219"/>
      <c r="K1" s="220"/>
      <c r="M1" s="1"/>
      <c r="N1" s="1"/>
      <c r="O1" s="1"/>
      <c r="P1" s="1"/>
      <c r="Q1" s="1"/>
    </row>
    <row r="2" spans="1:17" s="225" customFormat="1" ht="18" x14ac:dyDescent="0.25">
      <c r="A2" s="1321" t="e">
        <f>#REF!</f>
        <v>#REF!</v>
      </c>
      <c r="B2" s="1321"/>
      <c r="C2" s="1321"/>
      <c r="D2" s="1321"/>
      <c r="E2" s="1321"/>
      <c r="F2" s="1321"/>
      <c r="G2" s="1321"/>
      <c r="H2" s="1321"/>
      <c r="I2" s="1321"/>
      <c r="J2" s="222"/>
      <c r="K2" s="223"/>
      <c r="L2" s="222"/>
      <c r="M2" s="224"/>
      <c r="N2" s="224"/>
      <c r="O2" s="224"/>
      <c r="P2" s="224"/>
      <c r="Q2" s="224"/>
    </row>
    <row r="3" spans="1:17" s="229" customFormat="1" ht="31.5" customHeight="1" x14ac:dyDescent="0.2">
      <c r="A3" s="1312" t="e">
        <f>#REF!</f>
        <v>#REF!</v>
      </c>
      <c r="B3" s="1312"/>
      <c r="C3" s="1312"/>
      <c r="D3" s="1312"/>
      <c r="E3" s="1312"/>
      <c r="F3" s="1312"/>
      <c r="G3" s="1312"/>
      <c r="H3" s="226"/>
      <c r="I3" s="226"/>
      <c r="J3" s="227"/>
      <c r="K3" s="226"/>
      <c r="L3" s="227"/>
      <c r="M3" s="228"/>
      <c r="N3" s="228"/>
      <c r="O3" s="228"/>
      <c r="P3" s="228"/>
      <c r="Q3" s="228"/>
    </row>
    <row r="4" spans="1:17" s="221" customFormat="1" ht="15.75" x14ac:dyDescent="0.25">
      <c r="A4" s="1322" t="e">
        <f>#REF!</f>
        <v>#REF!</v>
      </c>
      <c r="B4" s="1322"/>
      <c r="C4" s="1322"/>
      <c r="D4" s="1322"/>
      <c r="E4" s="1322"/>
      <c r="F4" s="1322"/>
      <c r="G4" s="1322"/>
      <c r="H4" s="1322"/>
      <c r="I4" s="1322"/>
      <c r="J4" s="230"/>
      <c r="K4" s="223"/>
      <c r="L4" s="230"/>
      <c r="M4" s="1"/>
      <c r="N4" s="1"/>
      <c r="O4" s="1"/>
      <c r="P4" s="1"/>
      <c r="Q4" s="1"/>
    </row>
    <row r="5" spans="1:17" s="237" customFormat="1" ht="15.75" customHeight="1" x14ac:dyDescent="0.2">
      <c r="A5" s="231"/>
      <c r="B5" s="232"/>
      <c r="C5" s="233"/>
      <c r="D5" s="232"/>
      <c r="E5" s="232"/>
      <c r="F5" s="217"/>
      <c r="G5" s="232"/>
      <c r="H5" s="234" t="s">
        <v>728</v>
      </c>
      <c r="I5" s="232"/>
      <c r="J5" s="178"/>
      <c r="K5" s="235"/>
      <c r="L5" s="188"/>
      <c r="M5" s="236"/>
      <c r="N5" s="236"/>
      <c r="O5" s="236"/>
      <c r="P5" s="236"/>
      <c r="Q5" s="236"/>
    </row>
    <row r="6" spans="1:17" s="188" customFormat="1" ht="2.25" customHeight="1" x14ac:dyDescent="0.2">
      <c r="A6" s="174"/>
      <c r="B6" s="177"/>
      <c r="C6" s="176"/>
      <c r="D6" s="177"/>
      <c r="E6" s="178"/>
      <c r="F6" s="178"/>
      <c r="G6" s="178"/>
      <c r="H6" s="179"/>
      <c r="I6" s="178"/>
      <c r="J6" s="178"/>
      <c r="K6" s="177"/>
      <c r="M6" s="202"/>
      <c r="N6" s="202"/>
      <c r="O6" s="202"/>
      <c r="P6" s="202"/>
      <c r="Q6" s="202"/>
    </row>
    <row r="7" spans="1:17" s="188" customFormat="1" ht="12.75" customHeight="1" x14ac:dyDescent="0.2">
      <c r="A7" s="1323" t="s">
        <v>443</v>
      </c>
      <c r="B7" s="1323"/>
      <c r="C7" s="1323"/>
      <c r="D7" s="1323"/>
      <c r="E7" s="1323"/>
      <c r="F7" s="1323"/>
      <c r="G7" s="1323"/>
      <c r="H7" s="1323"/>
      <c r="I7" s="1323"/>
      <c r="J7" s="238"/>
      <c r="K7" s="239"/>
      <c r="L7" s="238"/>
      <c r="M7" s="202"/>
      <c r="N7" s="202"/>
      <c r="O7" s="202"/>
      <c r="P7" s="202"/>
      <c r="Q7" s="202"/>
    </row>
    <row r="8" spans="1:17" s="188" customFormat="1" ht="6.75" customHeight="1" x14ac:dyDescent="0.2">
      <c r="A8" s="174"/>
      <c r="B8" s="177"/>
      <c r="C8" s="176"/>
      <c r="D8" s="177"/>
      <c r="E8" s="178"/>
      <c r="F8" s="178"/>
      <c r="G8" s="178"/>
      <c r="H8" s="179"/>
      <c r="I8" s="178"/>
      <c r="J8" s="240"/>
      <c r="K8" s="177"/>
      <c r="M8" s="202"/>
      <c r="N8" s="202"/>
      <c r="O8" s="202"/>
      <c r="P8" s="202"/>
      <c r="Q8" s="202"/>
    </row>
    <row r="9" spans="1:17" s="188" customFormat="1" ht="11.25" x14ac:dyDescent="0.2">
      <c r="A9" s="241" t="s">
        <v>379</v>
      </c>
      <c r="B9" s="242"/>
      <c r="C9" s="243" t="s">
        <v>380</v>
      </c>
      <c r="D9" s="244" t="s">
        <v>381</v>
      </c>
      <c r="E9" s="245" t="s">
        <v>143</v>
      </c>
      <c r="F9" s="246" t="s">
        <v>382</v>
      </c>
      <c r="G9" s="246" t="s">
        <v>383</v>
      </c>
      <c r="H9" s="246" t="s">
        <v>384</v>
      </c>
      <c r="I9" s="185"/>
      <c r="J9" s="247"/>
      <c r="K9" s="248">
        <v>0.3</v>
      </c>
      <c r="M9" s="201" t="s">
        <v>385</v>
      </c>
      <c r="N9" s="201" t="s">
        <v>386</v>
      </c>
      <c r="O9" s="201" t="s">
        <v>387</v>
      </c>
      <c r="P9" s="201" t="s">
        <v>388</v>
      </c>
      <c r="Q9" s="201" t="s">
        <v>389</v>
      </c>
    </row>
    <row r="10" spans="1:17" s="189" customFormat="1" ht="11.25" hidden="1" customHeight="1" x14ac:dyDescent="0.2">
      <c r="A10" s="249" t="s">
        <v>444</v>
      </c>
      <c r="B10" s="1324" t="s">
        <v>445</v>
      </c>
      <c r="C10" s="1325"/>
      <c r="D10" s="250"/>
      <c r="E10" s="251"/>
      <c r="F10" s="251"/>
      <c r="G10" s="251"/>
      <c r="H10" s="252">
        <f>SUM(G10:G18)</f>
        <v>0</v>
      </c>
      <c r="I10" s="195"/>
      <c r="K10" s="253"/>
      <c r="M10" s="201"/>
      <c r="N10" s="201"/>
      <c r="O10" s="201"/>
      <c r="P10" s="201"/>
      <c r="Q10" s="201"/>
    </row>
    <row r="11" spans="1:17" s="189" customFormat="1" ht="11.25" hidden="1" x14ac:dyDescent="0.2">
      <c r="A11" s="254"/>
      <c r="B11" s="255"/>
      <c r="C11" s="256" t="s">
        <v>446</v>
      </c>
      <c r="D11" s="257" t="s">
        <v>321</v>
      </c>
      <c r="E11" s="253">
        <v>0</v>
      </c>
      <c r="F11" s="258">
        <f t="shared" ref="F11:F17" si="0">IF(E11&gt;0,K11*$K$9+K11,0)</f>
        <v>0</v>
      </c>
      <c r="G11" s="258">
        <f t="shared" ref="G11:G17" si="1">ROUND(E11*F11,2)</f>
        <v>0</v>
      </c>
      <c r="H11" s="259"/>
      <c r="I11" s="195"/>
      <c r="K11" s="260">
        <v>2.83</v>
      </c>
      <c r="M11" s="201"/>
      <c r="N11" s="201"/>
      <c r="O11" s="201"/>
      <c r="P11" s="201"/>
      <c r="Q11" s="201"/>
    </row>
    <row r="12" spans="1:17" s="188" customFormat="1" ht="11.25" hidden="1" x14ac:dyDescent="0.2">
      <c r="A12" s="254"/>
      <c r="B12" s="255"/>
      <c r="C12" s="256" t="s">
        <v>447</v>
      </c>
      <c r="D12" s="261" t="s">
        <v>321</v>
      </c>
      <c r="E12" s="253">
        <v>0</v>
      </c>
      <c r="F12" s="258">
        <f t="shared" si="0"/>
        <v>0</v>
      </c>
      <c r="G12" s="258">
        <f t="shared" si="1"/>
        <v>0</v>
      </c>
      <c r="H12" s="259"/>
      <c r="I12" s="185"/>
      <c r="K12" s="260">
        <v>308.64999999999998</v>
      </c>
      <c r="M12" s="202"/>
      <c r="N12" s="202"/>
      <c r="O12" s="202"/>
      <c r="P12" s="202"/>
      <c r="Q12" s="202"/>
    </row>
    <row r="13" spans="1:17" s="189" customFormat="1" ht="11.25" hidden="1" x14ac:dyDescent="0.2">
      <c r="A13" s="254"/>
      <c r="B13" s="255"/>
      <c r="C13" s="256" t="s">
        <v>448</v>
      </c>
      <c r="D13" s="257" t="s">
        <v>321</v>
      </c>
      <c r="E13" s="253">
        <v>0</v>
      </c>
      <c r="F13" s="258">
        <f t="shared" si="0"/>
        <v>0</v>
      </c>
      <c r="G13" s="258">
        <f t="shared" si="1"/>
        <v>0</v>
      </c>
      <c r="H13" s="259"/>
      <c r="I13" s="195"/>
      <c r="K13" s="260">
        <v>159.55000000000001</v>
      </c>
      <c r="M13" s="201"/>
      <c r="N13" s="201"/>
      <c r="O13" s="201"/>
      <c r="P13" s="201"/>
      <c r="Q13" s="201"/>
    </row>
    <row r="14" spans="1:17" s="189" customFormat="1" ht="11.25" hidden="1" x14ac:dyDescent="0.2">
      <c r="A14" s="254"/>
      <c r="B14" s="255"/>
      <c r="C14" s="256" t="s">
        <v>449</v>
      </c>
      <c r="D14" s="257" t="s">
        <v>393</v>
      </c>
      <c r="E14" s="253">
        <v>0</v>
      </c>
      <c r="F14" s="258">
        <f t="shared" si="0"/>
        <v>0</v>
      </c>
      <c r="G14" s="258">
        <f t="shared" si="1"/>
        <v>0</v>
      </c>
      <c r="H14" s="259"/>
      <c r="I14" s="195"/>
      <c r="K14" s="260">
        <v>1263.33</v>
      </c>
      <c r="M14" s="201"/>
      <c r="N14" s="201"/>
      <c r="O14" s="201"/>
      <c r="P14" s="201"/>
      <c r="Q14" s="201"/>
    </row>
    <row r="15" spans="1:17" s="189" customFormat="1" ht="11.25" hidden="1" x14ac:dyDescent="0.2">
      <c r="A15" s="254"/>
      <c r="B15" s="255"/>
      <c r="C15" s="256" t="s">
        <v>450</v>
      </c>
      <c r="D15" s="257" t="s">
        <v>393</v>
      </c>
      <c r="E15" s="253">
        <v>0</v>
      </c>
      <c r="F15" s="258">
        <f t="shared" si="0"/>
        <v>0</v>
      </c>
      <c r="G15" s="258">
        <f t="shared" si="1"/>
        <v>0</v>
      </c>
      <c r="H15" s="259"/>
      <c r="I15" s="195"/>
      <c r="K15" s="260">
        <v>710.52</v>
      </c>
      <c r="M15" s="201"/>
      <c r="N15" s="201"/>
      <c r="O15" s="201"/>
      <c r="P15" s="201"/>
      <c r="Q15" s="201"/>
    </row>
    <row r="16" spans="1:17" s="189" customFormat="1" ht="11.25" hidden="1" x14ac:dyDescent="0.2">
      <c r="A16" s="254"/>
      <c r="B16" s="255"/>
      <c r="C16" s="256" t="s">
        <v>451</v>
      </c>
      <c r="D16" s="257" t="s">
        <v>393</v>
      </c>
      <c r="E16" s="253">
        <v>0</v>
      </c>
      <c r="F16" s="258">
        <f t="shared" si="0"/>
        <v>0</v>
      </c>
      <c r="G16" s="258">
        <f t="shared" si="1"/>
        <v>0</v>
      </c>
      <c r="H16" s="259"/>
      <c r="I16" s="195"/>
      <c r="K16" s="260">
        <v>448.37</v>
      </c>
      <c r="M16" s="201"/>
      <c r="N16" s="201"/>
      <c r="O16" s="201"/>
      <c r="P16" s="201"/>
      <c r="Q16" s="201"/>
    </row>
    <row r="17" spans="1:17" s="188" customFormat="1" ht="11.25" hidden="1" x14ac:dyDescent="0.2">
      <c r="A17" s="254"/>
      <c r="B17" s="255"/>
      <c r="C17" s="262" t="s">
        <v>452</v>
      </c>
      <c r="D17" s="263" t="s">
        <v>321</v>
      </c>
      <c r="E17" s="253">
        <v>0</v>
      </c>
      <c r="F17" s="258">
        <f t="shared" si="0"/>
        <v>0</v>
      </c>
      <c r="G17" s="258">
        <f t="shared" si="1"/>
        <v>0</v>
      </c>
      <c r="H17" s="264"/>
      <c r="I17" s="185"/>
      <c r="K17" s="260">
        <v>22.59</v>
      </c>
      <c r="M17" s="202"/>
      <c r="N17" s="202"/>
      <c r="O17" s="202"/>
      <c r="P17" s="202"/>
      <c r="Q17" s="202"/>
    </row>
    <row r="18" spans="1:17" s="188" customFormat="1" ht="11.25" hidden="1" x14ac:dyDescent="0.2">
      <c r="A18" s="254"/>
      <c r="B18" s="255"/>
      <c r="C18" s="265"/>
      <c r="D18" s="266"/>
      <c r="E18" s="253"/>
      <c r="F18" s="258"/>
      <c r="G18" s="258"/>
      <c r="H18" s="264"/>
      <c r="I18" s="185"/>
      <c r="K18" s="260"/>
      <c r="M18" s="202"/>
      <c r="N18" s="202"/>
      <c r="O18" s="202"/>
      <c r="P18" s="202"/>
      <c r="Q18" s="202"/>
    </row>
    <row r="19" spans="1:17" s="189" customFormat="1" ht="11.25" hidden="1" customHeight="1" x14ac:dyDescent="0.2">
      <c r="A19" s="249" t="s">
        <v>453</v>
      </c>
      <c r="B19" s="1314" t="s">
        <v>454</v>
      </c>
      <c r="C19" s="1315"/>
      <c r="D19" s="267"/>
      <c r="E19" s="268"/>
      <c r="F19" s="268"/>
      <c r="G19" s="268"/>
      <c r="H19" s="269">
        <f>SUM(G19:G23)</f>
        <v>0</v>
      </c>
      <c r="I19" s="195"/>
      <c r="K19" s="260"/>
      <c r="M19" s="201"/>
      <c r="N19" s="201"/>
      <c r="O19" s="201"/>
      <c r="P19" s="201"/>
      <c r="Q19" s="201"/>
    </row>
    <row r="20" spans="1:17" s="188" customFormat="1" ht="11.25" hidden="1" x14ac:dyDescent="0.2">
      <c r="A20" s="254"/>
      <c r="B20" s="255"/>
      <c r="C20" s="256" t="s">
        <v>455</v>
      </c>
      <c r="D20" s="263" t="s">
        <v>321</v>
      </c>
      <c r="E20" s="253">
        <v>0</v>
      </c>
      <c r="F20" s="258">
        <f>IF(E20&gt;0,K20*$K$9+K20,0)</f>
        <v>0</v>
      </c>
      <c r="G20" s="258">
        <f>ROUND(E20*F20,2)</f>
        <v>0</v>
      </c>
      <c r="H20" s="264"/>
      <c r="I20" s="185"/>
      <c r="K20" s="260">
        <v>1.5</v>
      </c>
      <c r="M20" s="202"/>
      <c r="N20" s="202"/>
      <c r="O20" s="202"/>
      <c r="P20" s="202"/>
      <c r="Q20" s="202"/>
    </row>
    <row r="21" spans="1:17" s="188" customFormat="1" ht="11.25" hidden="1" x14ac:dyDescent="0.2">
      <c r="A21" s="254"/>
      <c r="B21" s="255"/>
      <c r="C21" s="256" t="s">
        <v>456</v>
      </c>
      <c r="D21" s="263" t="s">
        <v>321</v>
      </c>
      <c r="E21" s="253">
        <v>0</v>
      </c>
      <c r="F21" s="258">
        <f>IF(E21&gt;0,K21*$K$9+K21,0)</f>
        <v>0</v>
      </c>
      <c r="G21" s="258">
        <f>ROUND(E21*F21,2)</f>
        <v>0</v>
      </c>
      <c r="H21" s="264"/>
      <c r="I21" s="185"/>
      <c r="K21" s="260">
        <v>6.12</v>
      </c>
      <c r="M21" s="202"/>
      <c r="N21" s="202"/>
      <c r="O21" s="202"/>
      <c r="P21" s="202"/>
      <c r="Q21" s="202"/>
    </row>
    <row r="22" spans="1:17" s="188" customFormat="1" ht="11.25" hidden="1" x14ac:dyDescent="0.2">
      <c r="A22" s="254"/>
      <c r="B22" s="255"/>
      <c r="C22" s="256" t="s">
        <v>457</v>
      </c>
      <c r="D22" s="263" t="s">
        <v>321</v>
      </c>
      <c r="E22" s="253">
        <v>0</v>
      </c>
      <c r="F22" s="258">
        <f>IF(E22&gt;0,K22*$K$9+K22,0)</f>
        <v>0</v>
      </c>
      <c r="G22" s="258">
        <f>ROUND(E22*F22,2)</f>
        <v>0</v>
      </c>
      <c r="H22" s="264"/>
      <c r="I22" s="185"/>
      <c r="K22" s="260">
        <v>3.11</v>
      </c>
      <c r="M22" s="202"/>
      <c r="N22" s="202"/>
      <c r="O22" s="202"/>
      <c r="P22" s="202"/>
      <c r="Q22" s="202"/>
    </row>
    <row r="23" spans="1:17" s="188" customFormat="1" ht="11.25" hidden="1" x14ac:dyDescent="0.2">
      <c r="A23" s="254"/>
      <c r="B23" s="255"/>
      <c r="C23" s="265"/>
      <c r="D23" s="266"/>
      <c r="E23" s="253"/>
      <c r="F23" s="258"/>
      <c r="G23" s="258"/>
      <c r="H23" s="264"/>
      <c r="I23" s="185"/>
      <c r="K23" s="260"/>
      <c r="M23" s="202"/>
      <c r="N23" s="202"/>
      <c r="O23" s="202"/>
      <c r="P23" s="202"/>
      <c r="Q23" s="202"/>
    </row>
    <row r="24" spans="1:17" s="189" customFormat="1" ht="11.25" customHeight="1" x14ac:dyDescent="0.2">
      <c r="A24" s="249" t="s">
        <v>458</v>
      </c>
      <c r="B24" s="1314" t="s">
        <v>391</v>
      </c>
      <c r="C24" s="1315"/>
      <c r="D24" s="267"/>
      <c r="E24" s="268"/>
      <c r="F24" s="268"/>
      <c r="G24" s="270" t="e">
        <f>SUM(G25:G50)</f>
        <v>#REF!</v>
      </c>
      <c r="H24" s="269" t="e">
        <f>SUM(G24:G52)</f>
        <v>#REF!</v>
      </c>
      <c r="I24" s="195"/>
      <c r="K24" s="253"/>
      <c r="M24" s="201"/>
      <c r="N24" s="201"/>
      <c r="O24" s="201"/>
      <c r="P24" s="201"/>
      <c r="Q24" s="201"/>
    </row>
    <row r="25" spans="1:17" s="189" customFormat="1" ht="56.25" x14ac:dyDescent="0.2">
      <c r="A25" s="254"/>
      <c r="B25" s="271">
        <v>1</v>
      </c>
      <c r="C25" s="272" t="s">
        <v>459</v>
      </c>
      <c r="D25" s="260" t="s">
        <v>393</v>
      </c>
      <c r="E25" s="253" t="e">
        <f>#REF!</f>
        <v>#REF!</v>
      </c>
      <c r="F25" s="258" t="e">
        <f>IF(E25&gt;0,K25*$K$9+K25,0)+1000</f>
        <v>#REF!</v>
      </c>
      <c r="G25" s="258" t="e">
        <f t="shared" ref="G25:G35" si="2">ROUND(E25*F25,2)</f>
        <v>#REF!</v>
      </c>
      <c r="H25" s="264"/>
      <c r="I25" s="195"/>
      <c r="K25" s="260">
        <v>1540.41</v>
      </c>
      <c r="M25" s="253"/>
      <c r="N25" s="253"/>
      <c r="O25" s="253"/>
      <c r="P25" s="253"/>
      <c r="Q25" s="253"/>
    </row>
    <row r="26" spans="1:17" s="188" customFormat="1" ht="45" x14ac:dyDescent="0.2">
      <c r="A26" s="254"/>
      <c r="B26" s="271">
        <v>2</v>
      </c>
      <c r="C26" s="272" t="s">
        <v>399</v>
      </c>
      <c r="D26" s="260" t="s">
        <v>393</v>
      </c>
      <c r="E26" s="253">
        <f>1</f>
        <v>1</v>
      </c>
      <c r="F26" s="258">
        <f>IF(E26&gt;0,K26*$K$9+K26,0)+500</f>
        <v>1051.915</v>
      </c>
      <c r="G26" s="258">
        <f t="shared" si="2"/>
        <v>1051.92</v>
      </c>
      <c r="H26" s="264"/>
      <c r="I26" s="185"/>
      <c r="K26" s="260">
        <v>424.55</v>
      </c>
      <c r="M26" s="253"/>
      <c r="N26" s="253"/>
      <c r="O26" s="253"/>
      <c r="P26" s="253"/>
      <c r="Q26" s="253"/>
    </row>
    <row r="27" spans="1:17" s="188" customFormat="1" ht="33.75" x14ac:dyDescent="0.2">
      <c r="A27" s="254"/>
      <c r="B27" s="271">
        <v>3</v>
      </c>
      <c r="C27" s="272" t="s">
        <v>460</v>
      </c>
      <c r="D27" s="260" t="s">
        <v>203</v>
      </c>
      <c r="E27" s="253">
        <v>0</v>
      </c>
      <c r="F27" s="258">
        <f t="shared" ref="F27:F35" si="3">IF(E27&gt;0,K27*$K$9+K27,0)</f>
        <v>0</v>
      </c>
      <c r="G27" s="258">
        <f t="shared" si="2"/>
        <v>0</v>
      </c>
      <c r="H27" s="264"/>
      <c r="I27" s="185"/>
      <c r="K27" s="260">
        <v>112.5</v>
      </c>
      <c r="M27" s="253"/>
      <c r="N27" s="253"/>
      <c r="O27" s="253"/>
      <c r="P27" s="253"/>
      <c r="Q27" s="253"/>
    </row>
    <row r="28" spans="1:17" s="188" customFormat="1" ht="33.75" x14ac:dyDescent="0.2">
      <c r="A28" s="254"/>
      <c r="B28" s="271">
        <v>4</v>
      </c>
      <c r="C28" s="272" t="s">
        <v>461</v>
      </c>
      <c r="D28" s="260" t="s">
        <v>203</v>
      </c>
      <c r="E28" s="253">
        <v>0</v>
      </c>
      <c r="F28" s="258">
        <f t="shared" si="3"/>
        <v>0</v>
      </c>
      <c r="G28" s="258">
        <f t="shared" si="2"/>
        <v>0</v>
      </c>
      <c r="H28" s="264"/>
      <c r="I28" s="185"/>
      <c r="K28" s="260">
        <v>124.1</v>
      </c>
      <c r="M28" s="253"/>
      <c r="N28" s="253"/>
      <c r="O28" s="253">
        <f>7+37+2</f>
        <v>46</v>
      </c>
      <c r="P28" s="253"/>
      <c r="Q28" s="253"/>
    </row>
    <row r="29" spans="1:17" s="188" customFormat="1" ht="11.25" x14ac:dyDescent="0.2">
      <c r="A29" s="254"/>
      <c r="B29" s="271">
        <v>5</v>
      </c>
      <c r="C29" s="272" t="s">
        <v>407</v>
      </c>
      <c r="D29" s="260" t="s">
        <v>393</v>
      </c>
      <c r="E29" s="253">
        <v>2</v>
      </c>
      <c r="F29" s="258">
        <f t="shared" si="3"/>
        <v>359.06</v>
      </c>
      <c r="G29" s="258">
        <f t="shared" si="2"/>
        <v>718.12</v>
      </c>
      <c r="H29" s="264"/>
      <c r="I29" s="185"/>
      <c r="K29" s="260">
        <f>196.2+80</f>
        <v>276.2</v>
      </c>
      <c r="M29" s="253"/>
      <c r="N29" s="253"/>
      <c r="O29" s="253">
        <v>2</v>
      </c>
      <c r="P29" s="253"/>
      <c r="Q29" s="253"/>
    </row>
    <row r="30" spans="1:17" s="188" customFormat="1" ht="11.25" x14ac:dyDescent="0.2">
      <c r="A30" s="254"/>
      <c r="B30" s="271">
        <v>6</v>
      </c>
      <c r="C30" s="272" t="s">
        <v>406</v>
      </c>
      <c r="D30" s="260" t="s">
        <v>393</v>
      </c>
      <c r="E30" s="253">
        <v>4</v>
      </c>
      <c r="F30" s="258">
        <f t="shared" si="3"/>
        <v>447.2</v>
      </c>
      <c r="G30" s="258">
        <f t="shared" si="2"/>
        <v>1788.8</v>
      </c>
      <c r="H30" s="264"/>
      <c r="I30" s="185"/>
      <c r="K30" s="260">
        <f>264+80</f>
        <v>344</v>
      </c>
      <c r="M30" s="253"/>
      <c r="N30" s="253"/>
      <c r="O30" s="253">
        <v>3</v>
      </c>
      <c r="P30" s="253"/>
      <c r="Q30" s="253"/>
    </row>
    <row r="31" spans="1:17" s="188" customFormat="1" ht="33.75" x14ac:dyDescent="0.2">
      <c r="A31" s="254"/>
      <c r="B31" s="271">
        <v>7</v>
      </c>
      <c r="C31" s="272" t="s">
        <v>408</v>
      </c>
      <c r="D31" s="260" t="s">
        <v>393</v>
      </c>
      <c r="E31" s="253" t="e">
        <f>#REF!</f>
        <v>#REF!</v>
      </c>
      <c r="F31" s="258" t="e">
        <f t="shared" si="3"/>
        <v>#REF!</v>
      </c>
      <c r="G31" s="258" t="e">
        <f t="shared" si="2"/>
        <v>#REF!</v>
      </c>
      <c r="H31" s="264"/>
      <c r="I31" s="185"/>
      <c r="K31" s="260">
        <v>43.31</v>
      </c>
      <c r="M31" s="253"/>
      <c r="N31" s="253"/>
      <c r="O31" s="253">
        <v>1</v>
      </c>
      <c r="P31" s="253">
        <v>1</v>
      </c>
      <c r="Q31" s="253">
        <v>1</v>
      </c>
    </row>
    <row r="32" spans="1:17" s="188" customFormat="1" ht="45" x14ac:dyDescent="0.2">
      <c r="A32" s="254"/>
      <c r="B32" s="271">
        <v>7</v>
      </c>
      <c r="C32" s="272" t="s">
        <v>409</v>
      </c>
      <c r="D32" s="260" t="s">
        <v>393</v>
      </c>
      <c r="E32" s="253">
        <v>0</v>
      </c>
      <c r="F32" s="258">
        <f t="shared" si="3"/>
        <v>0</v>
      </c>
      <c r="G32" s="258">
        <f t="shared" si="2"/>
        <v>0</v>
      </c>
      <c r="H32" s="264"/>
      <c r="I32" s="185"/>
      <c r="K32" s="260">
        <v>43.31</v>
      </c>
      <c r="M32" s="253"/>
      <c r="N32" s="253"/>
      <c r="O32" s="253">
        <v>1</v>
      </c>
      <c r="P32" s="253">
        <v>1</v>
      </c>
      <c r="Q32" s="253">
        <v>1</v>
      </c>
    </row>
    <row r="33" spans="1:17" s="188" customFormat="1" ht="11.25" x14ac:dyDescent="0.2">
      <c r="A33" s="254"/>
      <c r="B33" s="271">
        <v>9</v>
      </c>
      <c r="C33" s="272" t="s">
        <v>410</v>
      </c>
      <c r="D33" s="260" t="s">
        <v>393</v>
      </c>
      <c r="E33" s="253" t="e">
        <f>#REF!</f>
        <v>#REF!</v>
      </c>
      <c r="F33" s="258" t="e">
        <f t="shared" si="3"/>
        <v>#REF!</v>
      </c>
      <c r="G33" s="258" t="e">
        <f t="shared" si="2"/>
        <v>#REF!</v>
      </c>
      <c r="H33" s="264"/>
      <c r="I33" s="185"/>
      <c r="K33" s="260">
        <v>126.63</v>
      </c>
      <c r="M33" s="253"/>
      <c r="N33" s="253"/>
      <c r="O33" s="253"/>
      <c r="P33" s="253"/>
      <c r="Q33" s="253"/>
    </row>
    <row r="34" spans="1:17" s="188" customFormat="1" ht="11.25" x14ac:dyDescent="0.2">
      <c r="A34" s="254"/>
      <c r="B34" s="271">
        <v>10</v>
      </c>
      <c r="C34" s="272" t="s">
        <v>411</v>
      </c>
      <c r="D34" s="260" t="s">
        <v>393</v>
      </c>
      <c r="E34" s="253" t="e">
        <f>#REF!</f>
        <v>#REF!</v>
      </c>
      <c r="F34" s="258" t="e">
        <f t="shared" si="3"/>
        <v>#REF!</v>
      </c>
      <c r="G34" s="258" t="e">
        <f t="shared" si="2"/>
        <v>#REF!</v>
      </c>
      <c r="H34" s="264"/>
      <c r="I34" s="185"/>
      <c r="K34" s="260">
        <v>370.44</v>
      </c>
      <c r="M34" s="253"/>
      <c r="N34" s="253"/>
      <c r="O34" s="253"/>
      <c r="P34" s="253">
        <v>2</v>
      </c>
      <c r="Q34" s="253"/>
    </row>
    <row r="35" spans="1:17" s="188" customFormat="1" ht="11.25" x14ac:dyDescent="0.2">
      <c r="A35" s="254"/>
      <c r="B35" s="271">
        <v>11</v>
      </c>
      <c r="C35" s="272" t="s">
        <v>412</v>
      </c>
      <c r="D35" s="260" t="s">
        <v>393</v>
      </c>
      <c r="E35" s="253" t="e">
        <f>#REF!</f>
        <v>#REF!</v>
      </c>
      <c r="F35" s="258" t="e">
        <f t="shared" si="3"/>
        <v>#REF!</v>
      </c>
      <c r="G35" s="258" t="e">
        <f t="shared" si="2"/>
        <v>#REF!</v>
      </c>
      <c r="H35" s="264"/>
      <c r="I35" s="185"/>
      <c r="K35" s="260">
        <v>277.44</v>
      </c>
      <c r="M35" s="253"/>
      <c r="N35" s="253"/>
      <c r="O35" s="253">
        <v>1</v>
      </c>
      <c r="P35" s="253"/>
      <c r="Q35" s="253">
        <v>1</v>
      </c>
    </row>
    <row r="36" spans="1:17" s="188" customFormat="1" ht="11.25" x14ac:dyDescent="0.2">
      <c r="A36" s="254"/>
      <c r="B36" s="271"/>
      <c r="C36" s="272" t="s">
        <v>413</v>
      </c>
      <c r="D36" s="260" t="s">
        <v>393</v>
      </c>
      <c r="E36" s="253" t="e">
        <f>#REF!</f>
        <v>#REF!</v>
      </c>
      <c r="F36" s="258"/>
      <c r="G36" s="258"/>
      <c r="H36" s="264"/>
      <c r="I36" s="185"/>
      <c r="K36" s="260"/>
      <c r="M36" s="253"/>
      <c r="N36" s="253"/>
      <c r="O36" s="253"/>
      <c r="P36" s="253">
        <v>2</v>
      </c>
      <c r="Q36" s="253"/>
    </row>
    <row r="37" spans="1:17" s="188" customFormat="1" ht="45" x14ac:dyDescent="0.2">
      <c r="A37" s="254"/>
      <c r="B37" s="271">
        <v>12</v>
      </c>
      <c r="C37" s="272" t="s">
        <v>462</v>
      </c>
      <c r="D37" s="260" t="s">
        <v>393</v>
      </c>
      <c r="E37" s="253" t="e">
        <f>#REF!</f>
        <v>#REF!</v>
      </c>
      <c r="F37" s="258" t="e">
        <f t="shared" ref="F37:F50" si="4">IF(E37&gt;0,K37*$K$9+K37,0)</f>
        <v>#REF!</v>
      </c>
      <c r="G37" s="258" t="e">
        <f t="shared" ref="G37:G50" si="5">ROUND(E37*F37,2)</f>
        <v>#REF!</v>
      </c>
      <c r="H37" s="264"/>
      <c r="I37" s="185"/>
      <c r="K37" s="260">
        <v>31.96</v>
      </c>
      <c r="M37" s="253"/>
      <c r="N37" s="253"/>
      <c r="O37" s="253"/>
      <c r="P37" s="253"/>
      <c r="Q37" s="253"/>
    </row>
    <row r="38" spans="1:17" s="188" customFormat="1" ht="45" x14ac:dyDescent="0.2">
      <c r="A38" s="254"/>
      <c r="B38" s="271">
        <v>13</v>
      </c>
      <c r="C38" s="272" t="s">
        <v>415</v>
      </c>
      <c r="D38" s="260" t="s">
        <v>393</v>
      </c>
      <c r="E38" s="253" t="e">
        <f>#REF!</f>
        <v>#REF!</v>
      </c>
      <c r="F38" s="258" t="e">
        <f t="shared" si="4"/>
        <v>#REF!</v>
      </c>
      <c r="G38" s="258" t="e">
        <f t="shared" si="5"/>
        <v>#REF!</v>
      </c>
      <c r="H38" s="264"/>
      <c r="I38" s="185"/>
      <c r="K38" s="260">
        <v>42.53</v>
      </c>
      <c r="M38" s="253"/>
      <c r="N38" s="253"/>
      <c r="O38" s="253"/>
      <c r="P38" s="253"/>
      <c r="Q38" s="253"/>
    </row>
    <row r="39" spans="1:17" s="188" customFormat="1" ht="45" x14ac:dyDescent="0.2">
      <c r="A39" s="254"/>
      <c r="B39" s="271">
        <v>14</v>
      </c>
      <c r="C39" s="272" t="s">
        <v>416</v>
      </c>
      <c r="D39" s="260" t="s">
        <v>393</v>
      </c>
      <c r="E39" s="253" t="e">
        <f>#REF!</f>
        <v>#REF!</v>
      </c>
      <c r="F39" s="258" t="e">
        <f t="shared" si="4"/>
        <v>#REF!</v>
      </c>
      <c r="G39" s="258" t="e">
        <f t="shared" si="5"/>
        <v>#REF!</v>
      </c>
      <c r="H39" s="264"/>
      <c r="I39" s="185"/>
      <c r="K39" s="260">
        <v>31.96</v>
      </c>
      <c r="M39" s="253"/>
      <c r="N39" s="253"/>
      <c r="O39" s="253"/>
      <c r="P39" s="253"/>
      <c r="Q39" s="253"/>
    </row>
    <row r="40" spans="1:17" s="188" customFormat="1" ht="45" x14ac:dyDescent="0.2">
      <c r="A40" s="254"/>
      <c r="B40" s="271">
        <v>15</v>
      </c>
      <c r="C40" s="272" t="s">
        <v>417</v>
      </c>
      <c r="D40" s="260" t="s">
        <v>393</v>
      </c>
      <c r="E40" s="253">
        <v>0</v>
      </c>
      <c r="F40" s="258">
        <f t="shared" si="4"/>
        <v>0</v>
      </c>
      <c r="G40" s="258">
        <f t="shared" si="5"/>
        <v>0</v>
      </c>
      <c r="H40" s="264"/>
      <c r="I40" s="185"/>
      <c r="K40" s="260">
        <v>27.94</v>
      </c>
      <c r="M40" s="253"/>
      <c r="N40" s="253"/>
      <c r="O40" s="253"/>
      <c r="P40" s="253"/>
      <c r="Q40" s="253"/>
    </row>
    <row r="41" spans="1:17" s="188" customFormat="1" ht="22.5" x14ac:dyDescent="0.2">
      <c r="A41" s="254"/>
      <c r="B41" s="271">
        <v>16</v>
      </c>
      <c r="C41" s="272" t="s">
        <v>418</v>
      </c>
      <c r="D41" s="260" t="s">
        <v>393</v>
      </c>
      <c r="E41" s="253" t="e">
        <f>#REF!</f>
        <v>#REF!</v>
      </c>
      <c r="F41" s="258" t="e">
        <f t="shared" si="4"/>
        <v>#REF!</v>
      </c>
      <c r="G41" s="258" t="e">
        <f t="shared" si="5"/>
        <v>#REF!</v>
      </c>
      <c r="H41" s="264"/>
      <c r="I41" s="185"/>
      <c r="K41" s="260">
        <v>105.96</v>
      </c>
      <c r="M41" s="253"/>
      <c r="N41" s="253">
        <v>25</v>
      </c>
      <c r="O41" s="253"/>
      <c r="P41" s="253"/>
      <c r="Q41" s="253"/>
    </row>
    <row r="42" spans="1:17" s="188" customFormat="1" ht="11.25" x14ac:dyDescent="0.2">
      <c r="A42" s="254"/>
      <c r="B42" s="271">
        <v>23</v>
      </c>
      <c r="C42" s="272" t="s">
        <v>463</v>
      </c>
      <c r="D42" s="260" t="s">
        <v>393</v>
      </c>
      <c r="E42" s="253" t="e">
        <f>E41</f>
        <v>#REF!</v>
      </c>
      <c r="F42" s="258" t="e">
        <f>IF(E42&gt;0,K42*$K$9+K42,0)</f>
        <v>#REF!</v>
      </c>
      <c r="G42" s="258" t="e">
        <f>ROUND(E42*F42,2)</f>
        <v>#REF!</v>
      </c>
      <c r="H42" s="264"/>
      <c r="I42" s="185"/>
      <c r="K42" s="260">
        <v>80</v>
      </c>
      <c r="M42" s="253"/>
      <c r="N42" s="253">
        <v>25</v>
      </c>
      <c r="O42" s="253"/>
      <c r="P42" s="253"/>
      <c r="Q42" s="253"/>
    </row>
    <row r="43" spans="1:17" s="188" customFormat="1" ht="22.5" x14ac:dyDescent="0.2">
      <c r="A43" s="254"/>
      <c r="B43" s="271">
        <v>17</v>
      </c>
      <c r="C43" s="272" t="s">
        <v>464</v>
      </c>
      <c r="D43" s="260" t="s">
        <v>393</v>
      </c>
      <c r="E43" s="253">
        <v>1</v>
      </c>
      <c r="F43" s="258">
        <f>IF(E43&gt;0,K43*$K$9+K43,0)+4342.14</f>
        <v>7321.4800000000005</v>
      </c>
      <c r="G43" s="258">
        <f t="shared" si="5"/>
        <v>7321.48</v>
      </c>
      <c r="H43" s="264"/>
      <c r="I43" s="185"/>
      <c r="K43" s="260">
        <v>2291.8000000000002</v>
      </c>
      <c r="M43" s="253"/>
      <c r="N43" s="253"/>
      <c r="O43" s="253">
        <v>2</v>
      </c>
      <c r="P43" s="253"/>
      <c r="Q43" s="253"/>
    </row>
    <row r="44" spans="1:17" s="188" customFormat="1" ht="22.5" x14ac:dyDescent="0.2">
      <c r="A44" s="254"/>
      <c r="B44" s="271">
        <v>17</v>
      </c>
      <c r="C44" s="272" t="s">
        <v>465</v>
      </c>
      <c r="D44" s="260" t="s">
        <v>393</v>
      </c>
      <c r="E44" s="253">
        <v>1</v>
      </c>
      <c r="F44" s="258">
        <f>IF(E44&gt;0,K44*$K$9+K44,0)</f>
        <v>2979.34</v>
      </c>
      <c r="G44" s="258">
        <f t="shared" si="5"/>
        <v>2979.34</v>
      </c>
      <c r="H44" s="264"/>
      <c r="I44" s="185"/>
      <c r="K44" s="260">
        <v>2291.8000000000002</v>
      </c>
      <c r="M44" s="253"/>
      <c r="N44" s="253"/>
      <c r="O44" s="253">
        <v>2</v>
      </c>
      <c r="P44" s="253"/>
      <c r="Q44" s="253"/>
    </row>
    <row r="45" spans="1:17" s="188" customFormat="1" ht="22.5" x14ac:dyDescent="0.2">
      <c r="A45" s="254"/>
      <c r="B45" s="271">
        <v>19</v>
      </c>
      <c r="C45" s="272" t="s">
        <v>424</v>
      </c>
      <c r="D45" s="260" t="s">
        <v>393</v>
      </c>
      <c r="E45" s="253">
        <v>1</v>
      </c>
      <c r="F45" s="258">
        <f t="shared" si="4"/>
        <v>3146</v>
      </c>
      <c r="G45" s="258">
        <f t="shared" si="5"/>
        <v>3146</v>
      </c>
      <c r="H45" s="264"/>
      <c r="I45" s="185"/>
      <c r="K45" s="260">
        <v>2420</v>
      </c>
      <c r="M45" s="253"/>
      <c r="N45" s="253"/>
      <c r="O45" s="253">
        <v>1</v>
      </c>
      <c r="P45" s="253"/>
      <c r="Q45" s="253"/>
    </row>
    <row r="46" spans="1:17" s="188" customFormat="1" ht="22.5" x14ac:dyDescent="0.2">
      <c r="A46" s="254"/>
      <c r="B46" s="271">
        <v>20</v>
      </c>
      <c r="C46" s="272" t="s">
        <v>466</v>
      </c>
      <c r="D46" s="260" t="s">
        <v>393</v>
      </c>
      <c r="E46" s="253">
        <v>1</v>
      </c>
      <c r="F46" s="258">
        <f t="shared" si="4"/>
        <v>481</v>
      </c>
      <c r="G46" s="258">
        <f t="shared" si="5"/>
        <v>481</v>
      </c>
      <c r="H46" s="264"/>
      <c r="I46" s="185"/>
      <c r="K46" s="260">
        <v>370</v>
      </c>
      <c r="M46" s="253"/>
      <c r="N46" s="253">
        <v>2</v>
      </c>
      <c r="O46" s="253"/>
      <c r="P46" s="253"/>
      <c r="Q46" s="253">
        <v>1</v>
      </c>
    </row>
    <row r="47" spans="1:17" s="188" customFormat="1" ht="11.25" x14ac:dyDescent="0.2">
      <c r="A47" s="254"/>
      <c r="B47" s="271">
        <v>21</v>
      </c>
      <c r="C47" s="272" t="s">
        <v>467</v>
      </c>
      <c r="D47" s="260" t="s">
        <v>393</v>
      </c>
      <c r="E47" s="253">
        <f>E48</f>
        <v>2</v>
      </c>
      <c r="F47" s="258">
        <f t="shared" si="4"/>
        <v>920.4</v>
      </c>
      <c r="G47" s="258">
        <f t="shared" si="5"/>
        <v>1840.8</v>
      </c>
      <c r="H47" s="264"/>
      <c r="I47" s="185"/>
      <c r="K47" s="260">
        <v>708</v>
      </c>
      <c r="M47" s="253"/>
      <c r="N47" s="253"/>
      <c r="O47" s="253">
        <v>2</v>
      </c>
      <c r="P47" s="253"/>
      <c r="Q47" s="253"/>
    </row>
    <row r="48" spans="1:17" s="188" customFormat="1" ht="11.25" x14ac:dyDescent="0.2">
      <c r="A48" s="254"/>
      <c r="B48" s="271">
        <v>22</v>
      </c>
      <c r="C48" s="272" t="s">
        <v>468</v>
      </c>
      <c r="D48" s="260" t="s">
        <v>393</v>
      </c>
      <c r="E48" s="253">
        <v>2</v>
      </c>
      <c r="F48" s="258">
        <f t="shared" si="4"/>
        <v>278.07</v>
      </c>
      <c r="G48" s="258">
        <f t="shared" si="5"/>
        <v>556.14</v>
      </c>
      <c r="H48" s="264"/>
      <c r="I48" s="185"/>
      <c r="K48" s="260">
        <v>213.9</v>
      </c>
      <c r="M48" s="253"/>
      <c r="N48" s="253"/>
      <c r="O48" s="253">
        <v>3</v>
      </c>
      <c r="P48" s="253"/>
      <c r="Q48" s="253"/>
    </row>
    <row r="49" spans="1:17" s="188" customFormat="1" ht="11.25" x14ac:dyDescent="0.2">
      <c r="A49" s="254"/>
      <c r="B49" s="271">
        <v>21</v>
      </c>
      <c r="C49" s="272" t="s">
        <v>469</v>
      </c>
      <c r="D49" s="260" t="s">
        <v>393</v>
      </c>
      <c r="E49" s="253">
        <v>1</v>
      </c>
      <c r="F49" s="258">
        <f t="shared" si="4"/>
        <v>920.4</v>
      </c>
      <c r="G49" s="258">
        <f t="shared" si="5"/>
        <v>920.4</v>
      </c>
      <c r="H49" s="264"/>
      <c r="I49" s="185"/>
      <c r="K49" s="260">
        <v>708</v>
      </c>
      <c r="M49" s="253"/>
      <c r="N49" s="253"/>
      <c r="O49" s="253">
        <v>2</v>
      </c>
      <c r="P49" s="253"/>
      <c r="Q49" s="253"/>
    </row>
    <row r="50" spans="1:17" s="188" customFormat="1" ht="11.25" x14ac:dyDescent="0.2">
      <c r="A50" s="254"/>
      <c r="B50" s="271">
        <v>22</v>
      </c>
      <c r="C50" s="272" t="s">
        <v>427</v>
      </c>
      <c r="D50" s="260" t="s">
        <v>393</v>
      </c>
      <c r="E50" s="253">
        <v>2</v>
      </c>
      <c r="F50" s="258">
        <f t="shared" si="4"/>
        <v>278.07</v>
      </c>
      <c r="G50" s="258">
        <f t="shared" si="5"/>
        <v>556.14</v>
      </c>
      <c r="H50" s="264"/>
      <c r="I50" s="185"/>
      <c r="K50" s="260">
        <v>213.9</v>
      </c>
      <c r="M50" s="253"/>
      <c r="N50" s="253"/>
      <c r="O50" s="253">
        <v>3</v>
      </c>
      <c r="P50" s="253"/>
      <c r="Q50" s="253"/>
    </row>
    <row r="51" spans="1:17" s="188" customFormat="1" ht="11.25" x14ac:dyDescent="0.2">
      <c r="A51" s="254"/>
      <c r="B51" s="271"/>
      <c r="C51" s="272" t="s">
        <v>470</v>
      </c>
      <c r="D51" s="260" t="s">
        <v>393</v>
      </c>
      <c r="E51" s="253">
        <v>46</v>
      </c>
      <c r="F51" s="258"/>
      <c r="G51" s="258"/>
      <c r="H51" s="264"/>
      <c r="I51" s="185"/>
      <c r="K51" s="260"/>
      <c r="M51" s="273"/>
      <c r="N51" s="273"/>
      <c r="O51" s="273"/>
      <c r="P51" s="273"/>
      <c r="Q51" s="273"/>
    </row>
    <row r="52" spans="1:17" s="188" customFormat="1" ht="11.25" x14ac:dyDescent="0.2">
      <c r="A52" s="254"/>
      <c r="B52" s="271"/>
      <c r="C52" s="272"/>
      <c r="D52" s="260"/>
      <c r="E52" s="253"/>
      <c r="F52" s="258"/>
      <c r="G52" s="258"/>
      <c r="H52" s="264"/>
      <c r="I52" s="185"/>
      <c r="K52" s="260"/>
    </row>
    <row r="53" spans="1:17" s="189" customFormat="1" ht="11.25" hidden="1" customHeight="1" x14ac:dyDescent="0.2">
      <c r="A53" s="249" t="s">
        <v>471</v>
      </c>
      <c r="B53" s="1314" t="s">
        <v>472</v>
      </c>
      <c r="C53" s="1315"/>
      <c r="D53" s="267"/>
      <c r="E53" s="268"/>
      <c r="F53" s="268"/>
      <c r="G53" s="268"/>
      <c r="H53" s="269">
        <f>SUM(G53:G83)</f>
        <v>289159.88000000006</v>
      </c>
      <c r="I53" s="195"/>
      <c r="K53" s="253"/>
    </row>
    <row r="54" spans="1:17" s="188" customFormat="1" ht="12" hidden="1" x14ac:dyDescent="0.2">
      <c r="A54" s="274"/>
      <c r="B54" s="1313" t="s">
        <v>473</v>
      </c>
      <c r="C54" s="1313"/>
      <c r="D54" s="275"/>
      <c r="E54" s="253"/>
      <c r="F54" s="258"/>
      <c r="G54" s="258"/>
      <c r="H54" s="264"/>
      <c r="I54" s="185"/>
      <c r="K54" s="276"/>
    </row>
    <row r="55" spans="1:17" s="188" customFormat="1" ht="45" hidden="1" x14ac:dyDescent="0.2">
      <c r="A55" s="277"/>
      <c r="B55" s="271"/>
      <c r="C55" s="265" t="s">
        <v>474</v>
      </c>
      <c r="D55" s="266" t="s">
        <v>393</v>
      </c>
      <c r="E55" s="253">
        <v>1</v>
      </c>
      <c r="F55" s="258">
        <f>IF(E55&gt;0,K55*$K$9+K55,0)</f>
        <v>45500</v>
      </c>
      <c r="G55" s="258">
        <f>ROUND(E55*F55,2)</f>
        <v>45500</v>
      </c>
      <c r="H55" s="264"/>
      <c r="I55" s="185"/>
      <c r="K55" s="260">
        <v>35000</v>
      </c>
    </row>
    <row r="56" spans="1:17" s="188" customFormat="1" ht="11.25" hidden="1" x14ac:dyDescent="0.2">
      <c r="A56" s="277"/>
      <c r="B56" s="271"/>
      <c r="C56" s="1313" t="s">
        <v>475</v>
      </c>
      <c r="D56" s="1313"/>
      <c r="E56" s="253"/>
      <c r="F56" s="258"/>
      <c r="G56" s="258"/>
      <c r="H56" s="264"/>
      <c r="I56" s="185"/>
      <c r="K56" s="260"/>
    </row>
    <row r="57" spans="1:17" s="188" customFormat="1" ht="11.25" hidden="1" x14ac:dyDescent="0.2">
      <c r="A57" s="277"/>
      <c r="B57" s="271"/>
      <c r="C57" s="265" t="s">
        <v>476</v>
      </c>
      <c r="D57" s="260" t="s">
        <v>203</v>
      </c>
      <c r="E57" s="253">
        <v>910</v>
      </c>
      <c r="F57" s="258">
        <f t="shared" ref="F57:F73" si="6">IF(E57&gt;0,K57*$K$9+K57,0)</f>
        <v>4.8230000000000004</v>
      </c>
      <c r="G57" s="258">
        <f t="shared" ref="G57:G73" si="7">ROUND(E57*F57,2)</f>
        <v>4388.93</v>
      </c>
      <c r="H57" s="264"/>
      <c r="I57" s="185"/>
      <c r="K57" s="260">
        <v>3.71</v>
      </c>
    </row>
    <row r="58" spans="1:17" s="188" customFormat="1" ht="11.25" hidden="1" x14ac:dyDescent="0.2">
      <c r="A58" s="277"/>
      <c r="B58" s="271"/>
      <c r="C58" s="265" t="s">
        <v>477</v>
      </c>
      <c r="D58" s="260" t="s">
        <v>203</v>
      </c>
      <c r="E58" s="253">
        <v>76</v>
      </c>
      <c r="F58" s="258">
        <f t="shared" si="6"/>
        <v>6.9029999999999996</v>
      </c>
      <c r="G58" s="258">
        <f t="shared" si="7"/>
        <v>524.63</v>
      </c>
      <c r="H58" s="264"/>
      <c r="I58" s="185"/>
      <c r="K58" s="260">
        <v>5.31</v>
      </c>
    </row>
    <row r="59" spans="1:17" s="188" customFormat="1" ht="11.25" hidden="1" x14ac:dyDescent="0.2">
      <c r="A59" s="277"/>
      <c r="B59" s="271"/>
      <c r="C59" s="265" t="s">
        <v>478</v>
      </c>
      <c r="D59" s="260" t="s">
        <v>203</v>
      </c>
      <c r="E59" s="253">
        <v>48</v>
      </c>
      <c r="F59" s="258">
        <f t="shared" si="6"/>
        <v>40.521000000000001</v>
      </c>
      <c r="G59" s="258">
        <f t="shared" si="7"/>
        <v>1945.01</v>
      </c>
      <c r="H59" s="264"/>
      <c r="I59" s="185"/>
      <c r="K59" s="260">
        <v>31.17</v>
      </c>
    </row>
    <row r="60" spans="1:17" s="188" customFormat="1" ht="11.25" hidden="1" x14ac:dyDescent="0.2">
      <c r="A60" s="277"/>
      <c r="B60" s="271"/>
      <c r="C60" s="265" t="s">
        <v>479</v>
      </c>
      <c r="D60" s="260" t="s">
        <v>203</v>
      </c>
      <c r="E60" s="253">
        <v>143</v>
      </c>
      <c r="F60" s="258">
        <f t="shared" si="6"/>
        <v>60.164000000000001</v>
      </c>
      <c r="G60" s="258">
        <f t="shared" si="7"/>
        <v>8603.4500000000007</v>
      </c>
      <c r="H60" s="264"/>
      <c r="I60" s="185"/>
      <c r="K60" s="260">
        <v>46.28</v>
      </c>
    </row>
    <row r="61" spans="1:17" s="188" customFormat="1" ht="11.25" hidden="1" x14ac:dyDescent="0.2">
      <c r="A61" s="277"/>
      <c r="B61" s="271"/>
      <c r="C61" s="265" t="s">
        <v>480</v>
      </c>
      <c r="D61" s="260" t="s">
        <v>393</v>
      </c>
      <c r="E61" s="253">
        <v>4</v>
      </c>
      <c r="F61" s="258">
        <f t="shared" si="6"/>
        <v>64.948000000000008</v>
      </c>
      <c r="G61" s="258">
        <f t="shared" si="7"/>
        <v>259.79000000000002</v>
      </c>
      <c r="H61" s="264"/>
      <c r="I61" s="185"/>
      <c r="K61" s="260">
        <v>49.96</v>
      </c>
    </row>
    <row r="62" spans="1:17" s="188" customFormat="1" ht="22.5" hidden="1" x14ac:dyDescent="0.2">
      <c r="A62" s="277"/>
      <c r="B62" s="271"/>
      <c r="C62" s="272" t="s">
        <v>481</v>
      </c>
      <c r="D62" s="260" t="s">
        <v>482</v>
      </c>
      <c r="E62" s="253">
        <v>401</v>
      </c>
      <c r="F62" s="258">
        <f t="shared" si="6"/>
        <v>216.81270000000001</v>
      </c>
      <c r="G62" s="258">
        <f t="shared" si="7"/>
        <v>86941.89</v>
      </c>
      <c r="H62" s="264"/>
      <c r="I62" s="185"/>
      <c r="K62" s="260">
        <v>166.779</v>
      </c>
    </row>
    <row r="63" spans="1:17" s="188" customFormat="1" ht="22.5" hidden="1" x14ac:dyDescent="0.2">
      <c r="A63" s="277"/>
      <c r="B63" s="271"/>
      <c r="C63" s="272" t="s">
        <v>483</v>
      </c>
      <c r="D63" s="260" t="s">
        <v>482</v>
      </c>
      <c r="E63" s="253">
        <v>107</v>
      </c>
      <c r="F63" s="258">
        <f t="shared" si="6"/>
        <v>193.05</v>
      </c>
      <c r="G63" s="258">
        <f t="shared" si="7"/>
        <v>20656.349999999999</v>
      </c>
      <c r="H63" s="264"/>
      <c r="I63" s="185"/>
      <c r="K63" s="260">
        <v>148.5</v>
      </c>
    </row>
    <row r="64" spans="1:17" s="188" customFormat="1" ht="11.25" hidden="1" x14ac:dyDescent="0.2">
      <c r="A64" s="277"/>
      <c r="B64" s="271"/>
      <c r="C64" s="272" t="s">
        <v>484</v>
      </c>
      <c r="D64" s="260" t="s">
        <v>482</v>
      </c>
      <c r="E64" s="253">
        <v>470</v>
      </c>
      <c r="F64" s="258">
        <f t="shared" si="6"/>
        <v>14.9175</v>
      </c>
      <c r="G64" s="258">
        <f t="shared" si="7"/>
        <v>7011.23</v>
      </c>
      <c r="H64" s="264"/>
      <c r="I64" s="185"/>
      <c r="K64" s="260">
        <v>11.475</v>
      </c>
    </row>
    <row r="65" spans="1:11" s="188" customFormat="1" ht="11.25" hidden="1" x14ac:dyDescent="0.2">
      <c r="A65" s="277"/>
      <c r="B65" s="271"/>
      <c r="C65" s="272" t="s">
        <v>485</v>
      </c>
      <c r="D65" s="260" t="s">
        <v>482</v>
      </c>
      <c r="E65" s="253">
        <v>94</v>
      </c>
      <c r="F65" s="258">
        <f t="shared" si="6"/>
        <v>14.9175</v>
      </c>
      <c r="G65" s="258">
        <f t="shared" si="7"/>
        <v>1402.25</v>
      </c>
      <c r="H65" s="264"/>
      <c r="I65" s="185"/>
      <c r="K65" s="260">
        <v>11.475</v>
      </c>
    </row>
    <row r="66" spans="1:11" s="188" customFormat="1" ht="11.25" hidden="1" x14ac:dyDescent="0.2">
      <c r="A66" s="277"/>
      <c r="B66" s="271"/>
      <c r="C66" s="272" t="s">
        <v>486</v>
      </c>
      <c r="D66" s="260" t="s">
        <v>482</v>
      </c>
      <c r="E66" s="253">
        <v>470</v>
      </c>
      <c r="F66" s="258">
        <f t="shared" si="6"/>
        <v>49.139999999999993</v>
      </c>
      <c r="G66" s="258">
        <f t="shared" si="7"/>
        <v>23095.8</v>
      </c>
      <c r="H66" s="264"/>
      <c r="I66" s="185"/>
      <c r="K66" s="260">
        <v>37.799999999999997</v>
      </c>
    </row>
    <row r="67" spans="1:11" s="188" customFormat="1" ht="11.25" hidden="1" x14ac:dyDescent="0.2">
      <c r="A67" s="277"/>
      <c r="B67" s="271"/>
      <c r="C67" s="272" t="s">
        <v>487</v>
      </c>
      <c r="D67" s="260" t="s">
        <v>482</v>
      </c>
      <c r="E67" s="253">
        <v>94</v>
      </c>
      <c r="F67" s="258">
        <f t="shared" si="6"/>
        <v>46.5075</v>
      </c>
      <c r="G67" s="258">
        <f t="shared" si="7"/>
        <v>4371.71</v>
      </c>
      <c r="H67" s="264"/>
      <c r="I67" s="185"/>
      <c r="K67" s="260">
        <v>35.774999999999999</v>
      </c>
    </row>
    <row r="68" spans="1:11" s="188" customFormat="1" ht="11.25" hidden="1" x14ac:dyDescent="0.2">
      <c r="A68" s="277"/>
      <c r="B68" s="271"/>
      <c r="C68" s="272" t="s">
        <v>488</v>
      </c>
      <c r="D68" s="260" t="s">
        <v>482</v>
      </c>
      <c r="E68" s="253">
        <v>90</v>
      </c>
      <c r="F68" s="258">
        <f t="shared" si="6"/>
        <v>78.974999999999994</v>
      </c>
      <c r="G68" s="258">
        <f t="shared" si="7"/>
        <v>7107.75</v>
      </c>
      <c r="H68" s="264"/>
      <c r="I68" s="185"/>
      <c r="K68" s="260">
        <v>60.75</v>
      </c>
    </row>
    <row r="69" spans="1:11" s="188" customFormat="1" ht="22.5" hidden="1" x14ac:dyDescent="0.2">
      <c r="A69" s="277"/>
      <c r="B69" s="271"/>
      <c r="C69" s="272" t="s">
        <v>489</v>
      </c>
      <c r="D69" s="260" t="s">
        <v>393</v>
      </c>
      <c r="E69" s="253">
        <v>96</v>
      </c>
      <c r="F69" s="258">
        <f t="shared" si="6"/>
        <v>10.108799999999999</v>
      </c>
      <c r="G69" s="258">
        <f t="shared" si="7"/>
        <v>970.44</v>
      </c>
      <c r="H69" s="264"/>
      <c r="I69" s="185"/>
      <c r="K69" s="260">
        <v>7.7759999999999998</v>
      </c>
    </row>
    <row r="70" spans="1:11" s="188" customFormat="1" ht="22.5" hidden="1" x14ac:dyDescent="0.2">
      <c r="A70" s="277"/>
      <c r="B70" s="271"/>
      <c r="C70" s="272" t="s">
        <v>490</v>
      </c>
      <c r="D70" s="260" t="s">
        <v>393</v>
      </c>
      <c r="E70" s="253">
        <v>4</v>
      </c>
      <c r="F70" s="258">
        <f t="shared" si="6"/>
        <v>17.63775</v>
      </c>
      <c r="G70" s="258">
        <f t="shared" si="7"/>
        <v>70.55</v>
      </c>
      <c r="H70" s="264"/>
      <c r="I70" s="185"/>
      <c r="K70" s="260">
        <v>13.567500000000001</v>
      </c>
    </row>
    <row r="71" spans="1:11" s="188" customFormat="1" ht="22.5" hidden="1" x14ac:dyDescent="0.2">
      <c r="A71" s="277"/>
      <c r="B71" s="271"/>
      <c r="C71" s="272" t="s">
        <v>491</v>
      </c>
      <c r="D71" s="260" t="s">
        <v>393</v>
      </c>
      <c r="E71" s="253">
        <v>1</v>
      </c>
      <c r="F71" s="258">
        <f t="shared" si="6"/>
        <v>22.306050000000006</v>
      </c>
      <c r="G71" s="258">
        <f t="shared" si="7"/>
        <v>22.31</v>
      </c>
      <c r="H71" s="264"/>
      <c r="I71" s="185"/>
      <c r="K71" s="260">
        <v>17.158500000000004</v>
      </c>
    </row>
    <row r="72" spans="1:11" s="188" customFormat="1" ht="22.5" hidden="1" x14ac:dyDescent="0.2">
      <c r="A72" s="277"/>
      <c r="B72" s="271"/>
      <c r="C72" s="272" t="s">
        <v>492</v>
      </c>
      <c r="D72" s="260" t="s">
        <v>393</v>
      </c>
      <c r="E72" s="253">
        <v>436</v>
      </c>
      <c r="F72" s="258">
        <f t="shared" si="6"/>
        <v>11.70585</v>
      </c>
      <c r="G72" s="258">
        <f t="shared" si="7"/>
        <v>5103.75</v>
      </c>
      <c r="H72" s="264"/>
      <c r="I72" s="185"/>
      <c r="K72" s="260">
        <v>9.0045000000000002</v>
      </c>
    </row>
    <row r="73" spans="1:11" s="188" customFormat="1" ht="11.25" hidden="1" x14ac:dyDescent="0.2">
      <c r="A73" s="277"/>
      <c r="B73" s="271"/>
      <c r="C73" s="272" t="s">
        <v>493</v>
      </c>
      <c r="D73" s="260" t="s">
        <v>494</v>
      </c>
      <c r="E73" s="253">
        <v>282</v>
      </c>
      <c r="F73" s="258">
        <f t="shared" si="6"/>
        <v>84.421999999999997</v>
      </c>
      <c r="G73" s="258">
        <f t="shared" si="7"/>
        <v>23807</v>
      </c>
      <c r="H73" s="264"/>
      <c r="I73" s="185"/>
      <c r="K73" s="260">
        <v>64.94</v>
      </c>
    </row>
    <row r="74" spans="1:11" s="188" customFormat="1" ht="11.25" hidden="1" x14ac:dyDescent="0.2">
      <c r="A74" s="277"/>
      <c r="B74" s="271"/>
      <c r="C74" s="1313" t="s">
        <v>495</v>
      </c>
      <c r="D74" s="1313"/>
      <c r="E74" s="253"/>
      <c r="F74" s="258"/>
      <c r="G74" s="258"/>
      <c r="H74" s="264"/>
      <c r="I74" s="185"/>
      <c r="K74" s="260"/>
    </row>
    <row r="75" spans="1:11" s="188" customFormat="1" ht="11.25" hidden="1" x14ac:dyDescent="0.2">
      <c r="A75" s="277"/>
      <c r="B75" s="271"/>
      <c r="C75" s="272" t="s">
        <v>488</v>
      </c>
      <c r="D75" s="260" t="s">
        <v>482</v>
      </c>
      <c r="E75" s="253">
        <v>135</v>
      </c>
      <c r="F75" s="258">
        <f>IF(E75&gt;0,K75*$K$9+K75,0)</f>
        <v>78.974999999999994</v>
      </c>
      <c r="G75" s="258">
        <f>ROUND(E75*F75,2)</f>
        <v>10661.63</v>
      </c>
      <c r="H75" s="264"/>
      <c r="I75" s="185"/>
      <c r="K75" s="260">
        <v>60.75</v>
      </c>
    </row>
    <row r="76" spans="1:11" s="188" customFormat="1" ht="11.25" hidden="1" x14ac:dyDescent="0.2">
      <c r="A76" s="277"/>
      <c r="B76" s="271"/>
      <c r="C76" s="272" t="s">
        <v>496</v>
      </c>
      <c r="D76" s="260" t="s">
        <v>393</v>
      </c>
      <c r="E76" s="253">
        <v>138</v>
      </c>
      <c r="F76" s="258">
        <f>IF(E76&gt;0,K76*$K$9+K76,0)</f>
        <v>11.70585</v>
      </c>
      <c r="G76" s="258">
        <f>ROUND(E76*F76,2)</f>
        <v>1615.41</v>
      </c>
      <c r="H76" s="264"/>
      <c r="I76" s="185"/>
      <c r="K76" s="260">
        <v>9.0045000000000002</v>
      </c>
    </row>
    <row r="77" spans="1:11" s="188" customFormat="1" ht="12.75" hidden="1" customHeight="1" x14ac:dyDescent="0.2">
      <c r="A77" s="277"/>
      <c r="B77" s="1318" t="s">
        <v>497</v>
      </c>
      <c r="C77" s="1319"/>
      <c r="D77" s="278"/>
      <c r="E77" s="253"/>
      <c r="F77" s="258"/>
      <c r="G77" s="258"/>
      <c r="H77" s="279"/>
      <c r="I77" s="185"/>
      <c r="K77" s="260"/>
    </row>
    <row r="78" spans="1:11" s="188" customFormat="1" ht="45" hidden="1" x14ac:dyDescent="0.2">
      <c r="A78" s="277"/>
      <c r="B78" s="271"/>
      <c r="C78" s="272" t="s">
        <v>498</v>
      </c>
      <c r="D78" s="260" t="s">
        <v>393</v>
      </c>
      <c r="E78" s="253">
        <v>11</v>
      </c>
      <c r="F78" s="258">
        <f>IF(E78&gt;0,K78*$K$9+K78,0)</f>
        <v>1719.9</v>
      </c>
      <c r="G78" s="258">
        <f>ROUND(E78*F78,2)</f>
        <v>18918.900000000001</v>
      </c>
      <c r="H78" s="264"/>
      <c r="I78" s="185"/>
      <c r="K78" s="260">
        <v>1323</v>
      </c>
    </row>
    <row r="79" spans="1:11" s="188" customFormat="1" ht="11.25" hidden="1" x14ac:dyDescent="0.2">
      <c r="A79" s="277"/>
      <c r="B79" s="271"/>
      <c r="C79" s="272" t="s">
        <v>499</v>
      </c>
      <c r="D79" s="260" t="s">
        <v>393</v>
      </c>
      <c r="E79" s="253">
        <v>1</v>
      </c>
      <c r="F79" s="258">
        <f>IF(E79&gt;0,K79*$K$9+K79,0)</f>
        <v>1719.9</v>
      </c>
      <c r="G79" s="258">
        <f>ROUND(E79*F79,2)</f>
        <v>1719.9</v>
      </c>
      <c r="H79" s="264"/>
      <c r="I79" s="185"/>
      <c r="K79" s="260">
        <v>1323</v>
      </c>
    </row>
    <row r="80" spans="1:11" s="188" customFormat="1" ht="22.5" hidden="1" x14ac:dyDescent="0.2">
      <c r="A80" s="277"/>
      <c r="B80" s="271"/>
      <c r="C80" s="272" t="s">
        <v>500</v>
      </c>
      <c r="D80" s="260" t="s">
        <v>393</v>
      </c>
      <c r="E80" s="253">
        <v>1</v>
      </c>
      <c r="F80" s="258">
        <f>IF(E80&gt;0,K80*$K$9+K80,0)</f>
        <v>9757.7999999999993</v>
      </c>
      <c r="G80" s="258">
        <f>ROUND(E80*F80,2)</f>
        <v>9757.7999999999993</v>
      </c>
      <c r="H80" s="264"/>
      <c r="I80" s="185"/>
      <c r="K80" s="260">
        <v>7506</v>
      </c>
    </row>
    <row r="81" spans="1:11" s="188" customFormat="1" ht="11.25" hidden="1" x14ac:dyDescent="0.2">
      <c r="A81" s="277"/>
      <c r="B81" s="271"/>
      <c r="C81" s="272" t="s">
        <v>501</v>
      </c>
      <c r="D81" s="260" t="s">
        <v>393</v>
      </c>
      <c r="E81" s="253">
        <v>1</v>
      </c>
      <c r="F81" s="258">
        <f>IF(E81&gt;0,K81*$K$9+K81,0)</f>
        <v>2106</v>
      </c>
      <c r="G81" s="258">
        <f>ROUND(E81*F81,2)</f>
        <v>2106</v>
      </c>
      <c r="H81" s="264"/>
      <c r="I81" s="185"/>
      <c r="K81" s="260">
        <v>1620</v>
      </c>
    </row>
    <row r="82" spans="1:11" s="188" customFormat="1" ht="11.25" hidden="1" x14ac:dyDescent="0.2">
      <c r="A82" s="277"/>
      <c r="B82" s="271"/>
      <c r="C82" s="272" t="s">
        <v>502</v>
      </c>
      <c r="D82" s="260" t="s">
        <v>393</v>
      </c>
      <c r="E82" s="253">
        <v>1</v>
      </c>
      <c r="F82" s="258">
        <f>IF(E82&gt;0,K82*$K$9+K82,0)</f>
        <v>2597.4</v>
      </c>
      <c r="G82" s="258">
        <f>ROUND(E82*F82,2)</f>
        <v>2597.4</v>
      </c>
      <c r="H82" s="264"/>
      <c r="I82" s="185"/>
      <c r="K82" s="260">
        <v>1998</v>
      </c>
    </row>
    <row r="83" spans="1:11" s="188" customFormat="1" ht="12" hidden="1" x14ac:dyDescent="0.2">
      <c r="A83" s="277"/>
      <c r="B83" s="271"/>
      <c r="C83" s="265"/>
      <c r="D83" s="266"/>
      <c r="E83" s="253"/>
      <c r="F83" s="258"/>
      <c r="G83" s="258"/>
      <c r="H83" s="264"/>
      <c r="I83" s="185"/>
      <c r="K83" s="276"/>
    </row>
    <row r="84" spans="1:11" s="189" customFormat="1" ht="11.25" hidden="1" customHeight="1" x14ac:dyDescent="0.2">
      <c r="A84" s="249" t="s">
        <v>503</v>
      </c>
      <c r="B84" s="1314" t="s">
        <v>504</v>
      </c>
      <c r="C84" s="1315"/>
      <c r="D84" s="267"/>
      <c r="E84" s="268"/>
      <c r="F84" s="268"/>
      <c r="G84" s="268"/>
      <c r="H84" s="269">
        <f>SUM(G84:G99)</f>
        <v>58634.3</v>
      </c>
      <c r="I84" s="195"/>
      <c r="K84" s="253"/>
    </row>
    <row r="85" spans="1:11" s="188" customFormat="1" ht="12.75" hidden="1" customHeight="1" x14ac:dyDescent="0.2">
      <c r="A85" s="277"/>
      <c r="B85" s="1318" t="s">
        <v>505</v>
      </c>
      <c r="C85" s="1319"/>
      <c r="D85" s="1320"/>
      <c r="E85" s="253"/>
      <c r="F85" s="258"/>
      <c r="G85" s="258"/>
      <c r="H85" s="279"/>
      <c r="I85" s="185"/>
      <c r="K85" s="260"/>
    </row>
    <row r="86" spans="1:11" s="188" customFormat="1" ht="11.25" hidden="1" x14ac:dyDescent="0.2">
      <c r="A86" s="280"/>
      <c r="B86" s="271"/>
      <c r="C86" s="272" t="s">
        <v>506</v>
      </c>
      <c r="D86" s="260" t="s">
        <v>393</v>
      </c>
      <c r="E86" s="253">
        <v>1</v>
      </c>
      <c r="F86" s="258">
        <f>IF(E86&gt;0,K86*$K$9+K86,0)</f>
        <v>1215.5</v>
      </c>
      <c r="G86" s="258">
        <f>ROUND(E86*F86,2)</f>
        <v>1215.5</v>
      </c>
      <c r="H86" s="264"/>
      <c r="I86" s="185"/>
      <c r="K86" s="260">
        <v>935</v>
      </c>
    </row>
    <row r="87" spans="1:11" s="188" customFormat="1" ht="11.25" hidden="1" x14ac:dyDescent="0.2">
      <c r="A87" s="280"/>
      <c r="B87" s="271"/>
      <c r="C87" s="272" t="s">
        <v>507</v>
      </c>
      <c r="D87" s="260" t="s">
        <v>393</v>
      </c>
      <c r="E87" s="253">
        <v>73</v>
      </c>
      <c r="F87" s="258">
        <f>IF(E87&gt;0,K87*$K$9+K87,0)</f>
        <v>67.86</v>
      </c>
      <c r="G87" s="258">
        <f>ROUND(E87*F87,2)</f>
        <v>4953.78</v>
      </c>
      <c r="H87" s="264"/>
      <c r="I87" s="185"/>
      <c r="K87" s="260">
        <v>52.2</v>
      </c>
    </row>
    <row r="88" spans="1:11" s="188" customFormat="1" ht="12.75" hidden="1" customHeight="1" x14ac:dyDescent="0.2">
      <c r="A88" s="277"/>
      <c r="B88" s="1318" t="s">
        <v>508</v>
      </c>
      <c r="C88" s="1319"/>
      <c r="D88" s="1320"/>
      <c r="E88" s="253"/>
      <c r="F88" s="258"/>
      <c r="G88" s="258"/>
      <c r="H88" s="279"/>
      <c r="I88" s="185"/>
      <c r="K88" s="260"/>
    </row>
    <row r="89" spans="1:11" s="188" customFormat="1" ht="22.5" hidden="1" x14ac:dyDescent="0.2">
      <c r="A89" s="280"/>
      <c r="B89" s="271"/>
      <c r="C89" s="272" t="s">
        <v>509</v>
      </c>
      <c r="D89" s="260" t="s">
        <v>510</v>
      </c>
      <c r="E89" s="253">
        <v>1</v>
      </c>
      <c r="F89" s="258">
        <f t="shared" ref="F89:F98" si="8">IF(E89&gt;0,K89*$K$9+K89,0)</f>
        <v>3474.9</v>
      </c>
      <c r="G89" s="258">
        <f t="shared" ref="G89:G98" si="9">ROUND(E89*F89,2)</f>
        <v>3474.9</v>
      </c>
      <c r="H89" s="264"/>
      <c r="I89" s="185"/>
      <c r="K89" s="260">
        <v>2673</v>
      </c>
    </row>
    <row r="90" spans="1:11" s="188" customFormat="1" ht="22.5" hidden="1" x14ac:dyDescent="0.2">
      <c r="A90" s="280"/>
      <c r="B90" s="271"/>
      <c r="C90" s="272" t="s">
        <v>511</v>
      </c>
      <c r="D90" s="260" t="s">
        <v>510</v>
      </c>
      <c r="E90" s="253">
        <v>5</v>
      </c>
      <c r="F90" s="258">
        <f t="shared" si="8"/>
        <v>1787.5</v>
      </c>
      <c r="G90" s="258">
        <f t="shared" si="9"/>
        <v>8937.5</v>
      </c>
      <c r="H90" s="264"/>
      <c r="I90" s="185"/>
      <c r="K90" s="260">
        <v>1375</v>
      </c>
    </row>
    <row r="91" spans="1:11" s="188" customFormat="1" ht="45" hidden="1" x14ac:dyDescent="0.2">
      <c r="A91" s="281"/>
      <c r="B91" s="271"/>
      <c r="C91" s="272" t="s">
        <v>512</v>
      </c>
      <c r="D91" s="260" t="s">
        <v>203</v>
      </c>
      <c r="E91" s="253">
        <v>90</v>
      </c>
      <c r="F91" s="258">
        <f t="shared" si="8"/>
        <v>2.6324999999999998</v>
      </c>
      <c r="G91" s="258">
        <f t="shared" si="9"/>
        <v>236.93</v>
      </c>
      <c r="H91" s="264"/>
      <c r="I91" s="185"/>
      <c r="K91" s="260">
        <v>2.0249999999999999</v>
      </c>
    </row>
    <row r="92" spans="1:11" s="188" customFormat="1" ht="45" hidden="1" x14ac:dyDescent="0.2">
      <c r="A92" s="281"/>
      <c r="B92" s="271"/>
      <c r="C92" s="272" t="s">
        <v>513</v>
      </c>
      <c r="D92" s="260" t="s">
        <v>203</v>
      </c>
      <c r="E92" s="253">
        <v>450</v>
      </c>
      <c r="F92" s="258">
        <f t="shared" si="8"/>
        <v>21.06</v>
      </c>
      <c r="G92" s="258">
        <f t="shared" si="9"/>
        <v>9477</v>
      </c>
      <c r="H92" s="264"/>
      <c r="I92" s="185"/>
      <c r="K92" s="260">
        <v>16.2</v>
      </c>
    </row>
    <row r="93" spans="1:11" s="188" customFormat="1" ht="22.5" hidden="1" x14ac:dyDescent="0.2">
      <c r="A93" s="281"/>
      <c r="B93" s="271"/>
      <c r="C93" s="272" t="s">
        <v>514</v>
      </c>
      <c r="D93" s="260" t="s">
        <v>515</v>
      </c>
      <c r="E93" s="253">
        <v>140</v>
      </c>
      <c r="F93" s="258">
        <f t="shared" si="8"/>
        <v>31.59</v>
      </c>
      <c r="G93" s="258">
        <f t="shared" si="9"/>
        <v>4422.6000000000004</v>
      </c>
      <c r="H93" s="264"/>
      <c r="I93" s="185"/>
      <c r="K93" s="260">
        <v>24.3</v>
      </c>
    </row>
    <row r="94" spans="1:11" s="188" customFormat="1" ht="22.5" hidden="1" x14ac:dyDescent="0.2">
      <c r="A94" s="281"/>
      <c r="B94" s="271"/>
      <c r="C94" s="272" t="s">
        <v>516</v>
      </c>
      <c r="D94" s="260" t="s">
        <v>515</v>
      </c>
      <c r="E94" s="253">
        <v>70</v>
      </c>
      <c r="F94" s="258">
        <f t="shared" si="8"/>
        <v>7.2130500000000008</v>
      </c>
      <c r="G94" s="258">
        <f t="shared" si="9"/>
        <v>504.91</v>
      </c>
      <c r="H94" s="264"/>
      <c r="I94" s="185"/>
      <c r="K94" s="260">
        <v>5.5485000000000007</v>
      </c>
    </row>
    <row r="95" spans="1:11" s="188" customFormat="1" ht="45" hidden="1" x14ac:dyDescent="0.2">
      <c r="A95" s="281"/>
      <c r="B95" s="271"/>
      <c r="C95" s="272" t="s">
        <v>517</v>
      </c>
      <c r="D95" s="260" t="s">
        <v>515</v>
      </c>
      <c r="E95" s="253">
        <v>70</v>
      </c>
      <c r="F95" s="258">
        <f t="shared" si="8"/>
        <v>32.8887</v>
      </c>
      <c r="G95" s="258">
        <f t="shared" si="9"/>
        <v>2302.21</v>
      </c>
      <c r="H95" s="264"/>
      <c r="I95" s="185"/>
      <c r="K95" s="260">
        <v>25.298999999999999</v>
      </c>
    </row>
    <row r="96" spans="1:11" s="188" customFormat="1" ht="22.5" hidden="1" x14ac:dyDescent="0.2">
      <c r="A96" s="281"/>
      <c r="B96" s="271"/>
      <c r="C96" s="272" t="s">
        <v>518</v>
      </c>
      <c r="D96" s="260" t="s">
        <v>519</v>
      </c>
      <c r="E96" s="253">
        <v>130</v>
      </c>
      <c r="F96" s="258">
        <f t="shared" si="8"/>
        <v>12.513150000000001</v>
      </c>
      <c r="G96" s="258">
        <f t="shared" si="9"/>
        <v>1626.71</v>
      </c>
      <c r="H96" s="264"/>
      <c r="I96" s="185"/>
      <c r="K96" s="260">
        <v>9.6255000000000006</v>
      </c>
    </row>
    <row r="97" spans="1:11" s="188" customFormat="1" ht="33.75" hidden="1" x14ac:dyDescent="0.2">
      <c r="A97" s="281"/>
      <c r="B97" s="271"/>
      <c r="C97" s="272" t="s">
        <v>520</v>
      </c>
      <c r="D97" s="260" t="s">
        <v>521</v>
      </c>
      <c r="E97" s="253">
        <v>90</v>
      </c>
      <c r="F97" s="258">
        <f t="shared" si="8"/>
        <v>236.64420000000001</v>
      </c>
      <c r="G97" s="258">
        <f t="shared" si="9"/>
        <v>21297.98</v>
      </c>
      <c r="H97" s="264"/>
      <c r="I97" s="185"/>
      <c r="K97" s="260">
        <v>182.03400000000002</v>
      </c>
    </row>
    <row r="98" spans="1:11" s="188" customFormat="1" ht="11.25" hidden="1" x14ac:dyDescent="0.2">
      <c r="A98" s="281"/>
      <c r="B98" s="271"/>
      <c r="C98" s="272" t="s">
        <v>522</v>
      </c>
      <c r="D98" s="260" t="s">
        <v>515</v>
      </c>
      <c r="E98" s="253">
        <v>70</v>
      </c>
      <c r="F98" s="258">
        <f t="shared" si="8"/>
        <v>2.6324999999999998</v>
      </c>
      <c r="G98" s="258">
        <f t="shared" si="9"/>
        <v>184.28</v>
      </c>
      <c r="H98" s="264"/>
      <c r="I98" s="185"/>
      <c r="K98" s="260">
        <v>2.0249999999999999</v>
      </c>
    </row>
    <row r="99" spans="1:11" s="189" customFormat="1" ht="11.25" hidden="1" x14ac:dyDescent="0.2">
      <c r="A99" s="254"/>
      <c r="B99" s="271"/>
      <c r="C99" s="265"/>
      <c r="D99" s="266"/>
      <c r="E99" s="253"/>
      <c r="F99" s="258"/>
      <c r="G99" s="258"/>
      <c r="H99" s="264"/>
      <c r="I99" s="195"/>
      <c r="K99" s="260"/>
    </row>
    <row r="100" spans="1:11" s="189" customFormat="1" ht="11.25" hidden="1" customHeight="1" x14ac:dyDescent="0.2">
      <c r="A100" s="249" t="s">
        <v>523</v>
      </c>
      <c r="B100" s="1314" t="s">
        <v>524</v>
      </c>
      <c r="C100" s="1315"/>
      <c r="D100" s="267"/>
      <c r="E100" s="268"/>
      <c r="F100" s="268"/>
      <c r="G100" s="268"/>
      <c r="H100" s="269">
        <f>SUM(G100:G117)</f>
        <v>65847.600000000006</v>
      </c>
      <c r="I100" s="195"/>
      <c r="K100" s="253"/>
    </row>
    <row r="101" spans="1:11" s="188" customFormat="1" ht="11.25" hidden="1" x14ac:dyDescent="0.2">
      <c r="A101" s="274"/>
      <c r="B101" s="271"/>
      <c r="C101" s="272" t="s">
        <v>525</v>
      </c>
      <c r="D101" s="282" t="s">
        <v>393</v>
      </c>
      <c r="E101" s="253">
        <v>26</v>
      </c>
      <c r="F101" s="258">
        <f t="shared" ref="F101:F116" si="10">IF(E101&gt;0,K101*$K$9+K101,0)</f>
        <v>1140.75</v>
      </c>
      <c r="G101" s="258">
        <f t="shared" ref="G101:G116" si="11">ROUND(E101*F101,2)</f>
        <v>29659.5</v>
      </c>
      <c r="H101" s="264"/>
      <c r="I101" s="185"/>
      <c r="K101" s="260">
        <v>877.50000000000011</v>
      </c>
    </row>
    <row r="102" spans="1:11" s="188" customFormat="1" ht="11.25" hidden="1" x14ac:dyDescent="0.2">
      <c r="A102" s="274"/>
      <c r="B102" s="271"/>
      <c r="C102" s="272" t="s">
        <v>526</v>
      </c>
      <c r="D102" s="282" t="s">
        <v>203</v>
      </c>
      <c r="E102" s="253">
        <v>3200</v>
      </c>
      <c r="F102" s="258">
        <f t="shared" si="10"/>
        <v>5.2650000000000006</v>
      </c>
      <c r="G102" s="258">
        <f t="shared" si="11"/>
        <v>16848</v>
      </c>
      <c r="H102" s="264"/>
      <c r="I102" s="185"/>
      <c r="K102" s="260">
        <v>4.0500000000000007</v>
      </c>
    </row>
    <row r="103" spans="1:11" s="188" customFormat="1" ht="11.25" hidden="1" x14ac:dyDescent="0.2">
      <c r="A103" s="274"/>
      <c r="B103" s="271"/>
      <c r="C103" s="272" t="s">
        <v>527</v>
      </c>
      <c r="D103" s="282" t="s">
        <v>393</v>
      </c>
      <c r="E103" s="253">
        <v>60</v>
      </c>
      <c r="F103" s="258">
        <f t="shared" si="10"/>
        <v>2.6325000000000003</v>
      </c>
      <c r="G103" s="258">
        <f t="shared" si="11"/>
        <v>157.94999999999999</v>
      </c>
      <c r="H103" s="264"/>
      <c r="I103" s="185"/>
      <c r="K103" s="260">
        <v>2.0250000000000004</v>
      </c>
    </row>
    <row r="104" spans="1:11" s="188" customFormat="1" ht="11.25" hidden="1" x14ac:dyDescent="0.2">
      <c r="A104" s="274"/>
      <c r="B104" s="271"/>
      <c r="C104" s="272" t="s">
        <v>528</v>
      </c>
      <c r="D104" s="282" t="s">
        <v>393</v>
      </c>
      <c r="E104" s="253">
        <v>26</v>
      </c>
      <c r="F104" s="258">
        <f t="shared" si="10"/>
        <v>33.344999999999999</v>
      </c>
      <c r="G104" s="258">
        <f t="shared" si="11"/>
        <v>866.97</v>
      </c>
      <c r="H104" s="264"/>
      <c r="I104" s="185"/>
      <c r="K104" s="260">
        <v>25.650000000000002</v>
      </c>
    </row>
    <row r="105" spans="1:11" s="188" customFormat="1" ht="11.25" hidden="1" x14ac:dyDescent="0.2">
      <c r="A105" s="274"/>
      <c r="B105" s="271"/>
      <c r="C105" s="272" t="s">
        <v>529</v>
      </c>
      <c r="D105" s="282" t="s">
        <v>393</v>
      </c>
      <c r="E105" s="253">
        <v>32</v>
      </c>
      <c r="F105" s="258">
        <f t="shared" si="10"/>
        <v>121.095</v>
      </c>
      <c r="G105" s="258">
        <f t="shared" si="11"/>
        <v>3875.04</v>
      </c>
      <c r="H105" s="264"/>
      <c r="I105" s="185"/>
      <c r="K105" s="260">
        <v>93.15</v>
      </c>
    </row>
    <row r="106" spans="1:11" s="188" customFormat="1" ht="11.25" hidden="1" x14ac:dyDescent="0.2">
      <c r="A106" s="274"/>
      <c r="B106" s="271"/>
      <c r="C106" s="272" t="s">
        <v>530</v>
      </c>
      <c r="D106" s="282" t="s">
        <v>393</v>
      </c>
      <c r="E106" s="253">
        <v>26</v>
      </c>
      <c r="F106" s="258">
        <f t="shared" si="10"/>
        <v>84.240000000000009</v>
      </c>
      <c r="G106" s="258">
        <f t="shared" si="11"/>
        <v>2190.2399999999998</v>
      </c>
      <c r="H106" s="264"/>
      <c r="I106" s="185"/>
      <c r="K106" s="260">
        <v>64.800000000000011</v>
      </c>
    </row>
    <row r="107" spans="1:11" s="188" customFormat="1" ht="11.25" hidden="1" x14ac:dyDescent="0.2">
      <c r="A107" s="274"/>
      <c r="B107" s="271"/>
      <c r="C107" s="272" t="s">
        <v>531</v>
      </c>
      <c r="D107" s="282" t="s">
        <v>393</v>
      </c>
      <c r="E107" s="253">
        <v>200</v>
      </c>
      <c r="F107" s="258">
        <f t="shared" si="10"/>
        <v>0.52649999999999997</v>
      </c>
      <c r="G107" s="258">
        <f t="shared" si="11"/>
        <v>105.3</v>
      </c>
      <c r="H107" s="264"/>
      <c r="I107" s="185"/>
      <c r="K107" s="260">
        <v>0.40500000000000003</v>
      </c>
    </row>
    <row r="108" spans="1:11" s="188" customFormat="1" ht="11.25" hidden="1" x14ac:dyDescent="0.2">
      <c r="A108" s="274"/>
      <c r="B108" s="271"/>
      <c r="C108" s="272" t="s">
        <v>532</v>
      </c>
      <c r="D108" s="282" t="s">
        <v>393</v>
      </c>
      <c r="E108" s="253">
        <v>200</v>
      </c>
      <c r="F108" s="258">
        <f t="shared" si="10"/>
        <v>0.52649999999999997</v>
      </c>
      <c r="G108" s="258">
        <f t="shared" si="11"/>
        <v>105.3</v>
      </c>
      <c r="H108" s="264"/>
      <c r="I108" s="185"/>
      <c r="K108" s="260">
        <v>0.40500000000000003</v>
      </c>
    </row>
    <row r="109" spans="1:11" s="188" customFormat="1" ht="11.25" hidden="1" x14ac:dyDescent="0.2">
      <c r="A109" s="274"/>
      <c r="B109" s="271"/>
      <c r="C109" s="272" t="s">
        <v>533</v>
      </c>
      <c r="D109" s="282" t="s">
        <v>203</v>
      </c>
      <c r="E109" s="253">
        <v>200</v>
      </c>
      <c r="F109" s="258">
        <f t="shared" si="10"/>
        <v>3.94875</v>
      </c>
      <c r="G109" s="258">
        <f t="shared" si="11"/>
        <v>789.75</v>
      </c>
      <c r="H109" s="264"/>
      <c r="I109" s="185"/>
      <c r="K109" s="260">
        <v>3.0375000000000001</v>
      </c>
    </row>
    <row r="110" spans="1:11" s="188" customFormat="1" ht="11.25" hidden="1" x14ac:dyDescent="0.2">
      <c r="A110" s="274"/>
      <c r="B110" s="271"/>
      <c r="C110" s="272" t="s">
        <v>534</v>
      </c>
      <c r="D110" s="282" t="s">
        <v>393</v>
      </c>
      <c r="E110" s="253">
        <v>2</v>
      </c>
      <c r="F110" s="258">
        <f t="shared" si="10"/>
        <v>1404</v>
      </c>
      <c r="G110" s="258">
        <f t="shared" si="11"/>
        <v>2808</v>
      </c>
      <c r="H110" s="264"/>
      <c r="I110" s="185"/>
      <c r="K110" s="260">
        <v>1080</v>
      </c>
    </row>
    <row r="111" spans="1:11" s="188" customFormat="1" ht="11.25" hidden="1" x14ac:dyDescent="0.2">
      <c r="A111" s="274"/>
      <c r="B111" s="271"/>
      <c r="C111" s="272" t="s">
        <v>535</v>
      </c>
      <c r="D111" s="282" t="s">
        <v>393</v>
      </c>
      <c r="E111" s="253">
        <v>1</v>
      </c>
      <c r="F111" s="258">
        <f t="shared" si="10"/>
        <v>5265</v>
      </c>
      <c r="G111" s="258">
        <f t="shared" si="11"/>
        <v>5265</v>
      </c>
      <c r="H111" s="264"/>
      <c r="I111" s="185"/>
      <c r="K111" s="260">
        <v>4050.0000000000005</v>
      </c>
    </row>
    <row r="112" spans="1:11" s="188" customFormat="1" ht="11.25" hidden="1" x14ac:dyDescent="0.2">
      <c r="A112" s="274"/>
      <c r="B112" s="271"/>
      <c r="C112" s="272" t="s">
        <v>536</v>
      </c>
      <c r="D112" s="282" t="s">
        <v>203</v>
      </c>
      <c r="E112" s="253">
        <v>100</v>
      </c>
      <c r="F112" s="258">
        <f t="shared" si="10"/>
        <v>7.0200000000000005</v>
      </c>
      <c r="G112" s="258">
        <f t="shared" si="11"/>
        <v>702</v>
      </c>
      <c r="H112" s="264"/>
      <c r="I112" s="185"/>
      <c r="K112" s="260">
        <v>5.4</v>
      </c>
    </row>
    <row r="113" spans="1:11" s="188" customFormat="1" ht="11.25" hidden="1" x14ac:dyDescent="0.2">
      <c r="A113" s="274"/>
      <c r="B113" s="271"/>
      <c r="C113" s="272" t="s">
        <v>537</v>
      </c>
      <c r="D113" s="282" t="s">
        <v>203</v>
      </c>
      <c r="E113" s="253">
        <v>50</v>
      </c>
      <c r="F113" s="258">
        <f t="shared" si="10"/>
        <v>12.285000000000002</v>
      </c>
      <c r="G113" s="258">
        <f t="shared" si="11"/>
        <v>614.25</v>
      </c>
      <c r="H113" s="264"/>
      <c r="I113" s="185"/>
      <c r="K113" s="260">
        <v>9.4500000000000011</v>
      </c>
    </row>
    <row r="114" spans="1:11" s="188" customFormat="1" ht="11.25" hidden="1" x14ac:dyDescent="0.2">
      <c r="A114" s="274"/>
      <c r="B114" s="271"/>
      <c r="C114" s="272" t="s">
        <v>538</v>
      </c>
      <c r="D114" s="282" t="s">
        <v>393</v>
      </c>
      <c r="E114" s="253">
        <v>60</v>
      </c>
      <c r="F114" s="258">
        <f t="shared" si="10"/>
        <v>12.285000000000002</v>
      </c>
      <c r="G114" s="258">
        <f t="shared" si="11"/>
        <v>737.1</v>
      </c>
      <c r="H114" s="264"/>
      <c r="I114" s="185"/>
      <c r="K114" s="260">
        <v>9.4500000000000011</v>
      </c>
    </row>
    <row r="115" spans="1:11" s="188" customFormat="1" ht="11.25" hidden="1" x14ac:dyDescent="0.2">
      <c r="A115" s="274"/>
      <c r="B115" s="271"/>
      <c r="C115" s="272" t="s">
        <v>539</v>
      </c>
      <c r="D115" s="282" t="s">
        <v>393</v>
      </c>
      <c r="E115" s="253">
        <v>1</v>
      </c>
      <c r="F115" s="258">
        <f t="shared" si="10"/>
        <v>859.95</v>
      </c>
      <c r="G115" s="258">
        <f t="shared" si="11"/>
        <v>859.95</v>
      </c>
      <c r="H115" s="264"/>
      <c r="I115" s="185"/>
      <c r="K115" s="260">
        <v>661.5</v>
      </c>
    </row>
    <row r="116" spans="1:11" s="188" customFormat="1" ht="11.25" hidden="1" x14ac:dyDescent="0.2">
      <c r="A116" s="283"/>
      <c r="B116" s="271"/>
      <c r="C116" s="272" t="s">
        <v>540</v>
      </c>
      <c r="D116" s="282" t="s">
        <v>393</v>
      </c>
      <c r="E116" s="253">
        <v>15</v>
      </c>
      <c r="F116" s="258">
        <f t="shared" si="10"/>
        <v>17.55</v>
      </c>
      <c r="G116" s="258">
        <f t="shared" si="11"/>
        <v>263.25</v>
      </c>
      <c r="H116" s="264"/>
      <c r="I116" s="185"/>
      <c r="K116" s="260">
        <v>13.5</v>
      </c>
    </row>
    <row r="117" spans="1:11" s="188" customFormat="1" ht="11.25" hidden="1" x14ac:dyDescent="0.2">
      <c r="A117" s="283"/>
      <c r="B117" s="271"/>
      <c r="C117" s="284"/>
      <c r="D117" s="282"/>
      <c r="E117" s="253"/>
      <c r="F117" s="258"/>
      <c r="G117" s="258"/>
      <c r="H117" s="264"/>
      <c r="I117" s="185"/>
      <c r="K117" s="260"/>
    </row>
    <row r="118" spans="1:11" s="188" customFormat="1" ht="11.25" hidden="1" customHeight="1" x14ac:dyDescent="0.2">
      <c r="A118" s="249" t="s">
        <v>541</v>
      </c>
      <c r="B118" s="1314" t="s">
        <v>542</v>
      </c>
      <c r="C118" s="1315"/>
      <c r="D118" s="267"/>
      <c r="E118" s="285"/>
      <c r="F118" s="268"/>
      <c r="G118" s="268"/>
      <c r="H118" s="269">
        <f>SUM(G118:G133)</f>
        <v>14352.179999999998</v>
      </c>
      <c r="I118" s="185"/>
      <c r="K118" s="260"/>
    </row>
    <row r="119" spans="1:11" s="188" customFormat="1" ht="22.5" hidden="1" x14ac:dyDescent="0.2">
      <c r="A119" s="283"/>
      <c r="B119" s="271"/>
      <c r="C119" s="272" t="s">
        <v>543</v>
      </c>
      <c r="D119" s="260" t="s">
        <v>393</v>
      </c>
      <c r="E119" s="253">
        <v>2</v>
      </c>
      <c r="F119" s="258">
        <f t="shared" ref="F119:F132" si="12">IF(E119&gt;0,K119*$K$9+K119,0)</f>
        <v>177.85170000000002</v>
      </c>
      <c r="G119" s="258">
        <f t="shared" ref="G119:G132" si="13">ROUND(E119*F119,2)</f>
        <v>355.7</v>
      </c>
      <c r="H119" s="264"/>
      <c r="I119" s="185"/>
      <c r="K119" s="286">
        <v>136.80900000000003</v>
      </c>
    </row>
    <row r="120" spans="1:11" s="188" customFormat="1" ht="22.5" hidden="1" x14ac:dyDescent="0.2">
      <c r="A120" s="283"/>
      <c r="B120" s="271"/>
      <c r="C120" s="272" t="s">
        <v>544</v>
      </c>
      <c r="D120" s="260" t="s">
        <v>393</v>
      </c>
      <c r="E120" s="253">
        <v>2</v>
      </c>
      <c r="F120" s="258">
        <f t="shared" si="12"/>
        <v>145.52460000000002</v>
      </c>
      <c r="G120" s="258">
        <f t="shared" si="13"/>
        <v>291.05</v>
      </c>
      <c r="H120" s="264"/>
      <c r="I120" s="185"/>
      <c r="K120" s="286">
        <v>111.94200000000001</v>
      </c>
    </row>
    <row r="121" spans="1:11" s="188" customFormat="1" ht="22.5" hidden="1" x14ac:dyDescent="0.2">
      <c r="A121" s="283"/>
      <c r="B121" s="271"/>
      <c r="C121" s="272" t="s">
        <v>545</v>
      </c>
      <c r="D121" s="260" t="s">
        <v>393</v>
      </c>
      <c r="E121" s="253">
        <v>2</v>
      </c>
      <c r="F121" s="258">
        <f t="shared" si="12"/>
        <v>36.346050000000005</v>
      </c>
      <c r="G121" s="258">
        <f t="shared" si="13"/>
        <v>72.69</v>
      </c>
      <c r="H121" s="264"/>
      <c r="I121" s="185"/>
      <c r="K121" s="286">
        <v>27.958500000000004</v>
      </c>
    </row>
    <row r="122" spans="1:11" s="188" customFormat="1" ht="22.5" hidden="1" x14ac:dyDescent="0.2">
      <c r="A122" s="283"/>
      <c r="B122" s="271"/>
      <c r="C122" s="272" t="s">
        <v>546</v>
      </c>
      <c r="D122" s="260" t="s">
        <v>393</v>
      </c>
      <c r="E122" s="253">
        <v>2</v>
      </c>
      <c r="F122" s="258">
        <f t="shared" si="12"/>
        <v>14.654250000000001</v>
      </c>
      <c r="G122" s="258">
        <f t="shared" si="13"/>
        <v>29.31</v>
      </c>
      <c r="H122" s="264"/>
      <c r="I122" s="185"/>
      <c r="K122" s="286">
        <v>11.272500000000001</v>
      </c>
    </row>
    <row r="123" spans="1:11" s="188" customFormat="1" ht="22.5" hidden="1" x14ac:dyDescent="0.2">
      <c r="A123" s="283"/>
      <c r="B123" s="271"/>
      <c r="C123" s="272" t="s">
        <v>547</v>
      </c>
      <c r="D123" s="260" t="s">
        <v>393</v>
      </c>
      <c r="E123" s="253">
        <v>2</v>
      </c>
      <c r="F123" s="258">
        <f t="shared" si="12"/>
        <v>16.672499999999999</v>
      </c>
      <c r="G123" s="258">
        <f t="shared" si="13"/>
        <v>33.35</v>
      </c>
      <c r="H123" s="264"/>
      <c r="I123" s="185"/>
      <c r="K123" s="286">
        <v>12.824999999999999</v>
      </c>
    </row>
    <row r="124" spans="1:11" s="188" customFormat="1" ht="22.5" hidden="1" x14ac:dyDescent="0.2">
      <c r="A124" s="283"/>
      <c r="B124" s="271"/>
      <c r="C124" s="272" t="s">
        <v>548</v>
      </c>
      <c r="D124" s="260" t="s">
        <v>393</v>
      </c>
      <c r="E124" s="253">
        <v>228</v>
      </c>
      <c r="F124" s="258">
        <f t="shared" si="12"/>
        <v>7.5465</v>
      </c>
      <c r="G124" s="258">
        <f t="shared" si="13"/>
        <v>1720.6</v>
      </c>
      <c r="H124" s="264"/>
      <c r="I124" s="185"/>
      <c r="K124" s="286">
        <v>5.8049999999999997</v>
      </c>
    </row>
    <row r="125" spans="1:11" s="188" customFormat="1" ht="22.5" hidden="1" x14ac:dyDescent="0.2">
      <c r="A125" s="283"/>
      <c r="B125" s="271"/>
      <c r="C125" s="272" t="s">
        <v>549</v>
      </c>
      <c r="D125" s="260" t="s">
        <v>393</v>
      </c>
      <c r="E125" s="253">
        <v>228</v>
      </c>
      <c r="F125" s="258">
        <f t="shared" si="12"/>
        <v>13.60125</v>
      </c>
      <c r="G125" s="258">
        <f t="shared" si="13"/>
        <v>3101.09</v>
      </c>
      <c r="H125" s="264"/>
      <c r="I125" s="185"/>
      <c r="K125" s="286">
        <v>10.4625</v>
      </c>
    </row>
    <row r="126" spans="1:11" s="188" customFormat="1" hidden="1" x14ac:dyDescent="0.2">
      <c r="A126" s="283"/>
      <c r="B126" s="271"/>
      <c r="C126" s="272" t="s">
        <v>550</v>
      </c>
      <c r="D126" s="260" t="s">
        <v>393</v>
      </c>
      <c r="E126" s="253">
        <v>228</v>
      </c>
      <c r="F126" s="258">
        <f t="shared" si="12"/>
        <v>5.7915000000000001</v>
      </c>
      <c r="G126" s="258">
        <f t="shared" si="13"/>
        <v>1320.46</v>
      </c>
      <c r="H126" s="264"/>
      <c r="I126" s="185"/>
      <c r="K126" s="286">
        <v>4.4550000000000001</v>
      </c>
    </row>
    <row r="127" spans="1:11" s="188" customFormat="1" hidden="1" x14ac:dyDescent="0.2">
      <c r="A127" s="283"/>
      <c r="B127" s="271"/>
      <c r="C127" s="272" t="s">
        <v>551</v>
      </c>
      <c r="D127" s="260" t="s">
        <v>203</v>
      </c>
      <c r="E127" s="253">
        <v>228</v>
      </c>
      <c r="F127" s="258">
        <f t="shared" si="12"/>
        <v>14.040000000000001</v>
      </c>
      <c r="G127" s="258">
        <f t="shared" si="13"/>
        <v>3201.12</v>
      </c>
      <c r="H127" s="264"/>
      <c r="I127" s="185"/>
      <c r="K127" s="286">
        <v>10.8</v>
      </c>
    </row>
    <row r="128" spans="1:11" s="188" customFormat="1" hidden="1" x14ac:dyDescent="0.2">
      <c r="A128" s="283"/>
      <c r="B128" s="271"/>
      <c r="C128" s="272" t="s">
        <v>552</v>
      </c>
      <c r="D128" s="260" t="s">
        <v>393</v>
      </c>
      <c r="E128" s="253">
        <v>35</v>
      </c>
      <c r="F128" s="258">
        <f t="shared" si="12"/>
        <v>35.1</v>
      </c>
      <c r="G128" s="258">
        <f t="shared" si="13"/>
        <v>1228.5</v>
      </c>
      <c r="H128" s="264"/>
      <c r="I128" s="185"/>
      <c r="K128" s="286">
        <v>27</v>
      </c>
    </row>
    <row r="129" spans="1:12" s="188" customFormat="1" hidden="1" x14ac:dyDescent="0.2">
      <c r="A129" s="283"/>
      <c r="B129" s="271"/>
      <c r="C129" s="272" t="s">
        <v>553</v>
      </c>
      <c r="D129" s="260" t="s">
        <v>393</v>
      </c>
      <c r="E129" s="253">
        <v>19</v>
      </c>
      <c r="F129" s="258">
        <f t="shared" si="12"/>
        <v>83.538000000000011</v>
      </c>
      <c r="G129" s="258">
        <f t="shared" si="13"/>
        <v>1587.22</v>
      </c>
      <c r="H129" s="264"/>
      <c r="I129" s="185"/>
      <c r="K129" s="286">
        <v>64.260000000000005</v>
      </c>
    </row>
    <row r="130" spans="1:12" s="188" customFormat="1" hidden="1" x14ac:dyDescent="0.2">
      <c r="A130" s="283"/>
      <c r="B130" s="271"/>
      <c r="C130" s="272" t="s">
        <v>554</v>
      </c>
      <c r="D130" s="260" t="s">
        <v>393</v>
      </c>
      <c r="E130" s="253">
        <v>19</v>
      </c>
      <c r="F130" s="258">
        <f t="shared" si="12"/>
        <v>41.593499999999999</v>
      </c>
      <c r="G130" s="258">
        <f t="shared" si="13"/>
        <v>790.28</v>
      </c>
      <c r="H130" s="264"/>
      <c r="I130" s="185"/>
      <c r="K130" s="286">
        <v>31.995000000000001</v>
      </c>
    </row>
    <row r="131" spans="1:12" s="188" customFormat="1" hidden="1" x14ac:dyDescent="0.2">
      <c r="A131" s="283"/>
      <c r="B131" s="271"/>
      <c r="C131" s="272" t="s">
        <v>555</v>
      </c>
      <c r="D131" s="260" t="s">
        <v>519</v>
      </c>
      <c r="E131" s="253">
        <v>48</v>
      </c>
      <c r="F131" s="258">
        <f t="shared" si="12"/>
        <v>12.513150000000001</v>
      </c>
      <c r="G131" s="258">
        <f t="shared" si="13"/>
        <v>600.63</v>
      </c>
      <c r="H131" s="264"/>
      <c r="I131" s="185"/>
      <c r="K131" s="286">
        <v>9.6255000000000006</v>
      </c>
    </row>
    <row r="132" spans="1:12" s="188" customFormat="1" hidden="1" x14ac:dyDescent="0.2">
      <c r="A132" s="283"/>
      <c r="B132" s="271"/>
      <c r="C132" s="272" t="s">
        <v>556</v>
      </c>
      <c r="D132" s="260" t="s">
        <v>393</v>
      </c>
      <c r="E132" s="253">
        <v>25</v>
      </c>
      <c r="F132" s="258">
        <f t="shared" si="12"/>
        <v>0.80730000000000013</v>
      </c>
      <c r="G132" s="258">
        <f t="shared" si="13"/>
        <v>20.18</v>
      </c>
      <c r="H132" s="264"/>
      <c r="I132" s="185"/>
      <c r="K132" s="286">
        <v>0.62100000000000011</v>
      </c>
    </row>
    <row r="133" spans="1:12" s="189" customFormat="1" ht="11.25" hidden="1" x14ac:dyDescent="0.2">
      <c r="A133" s="283"/>
      <c r="B133" s="271"/>
      <c r="C133" s="284"/>
      <c r="D133" s="282"/>
      <c r="E133" s="253"/>
      <c r="F133" s="258"/>
      <c r="G133" s="258"/>
      <c r="H133" s="264"/>
      <c r="I133" s="195"/>
      <c r="K133" s="260"/>
    </row>
    <row r="134" spans="1:12" s="188" customFormat="1" ht="11.25" hidden="1" customHeight="1" x14ac:dyDescent="0.2">
      <c r="A134" s="249" t="s">
        <v>557</v>
      </c>
      <c r="B134" s="1314" t="s">
        <v>558</v>
      </c>
      <c r="C134" s="1315"/>
      <c r="D134" s="267"/>
      <c r="E134" s="285"/>
      <c r="F134" s="268"/>
      <c r="G134" s="268"/>
      <c r="H134" s="269">
        <f>SUM(G134:G143)</f>
        <v>44196.939999999995</v>
      </c>
      <c r="I134" s="185"/>
      <c r="K134" s="260"/>
    </row>
    <row r="135" spans="1:12" s="189" customFormat="1" ht="33.75" hidden="1" x14ac:dyDescent="0.2">
      <c r="A135" s="283"/>
      <c r="B135" s="271"/>
      <c r="C135" s="265" t="s">
        <v>559</v>
      </c>
      <c r="D135" s="282" t="s">
        <v>393</v>
      </c>
      <c r="E135" s="253">
        <v>1</v>
      </c>
      <c r="F135" s="258">
        <f t="shared" ref="F135:F142" si="14">IF(E135&gt;0,K135*$K$9+K135,0)</f>
        <v>13380.119999999999</v>
      </c>
      <c r="G135" s="258">
        <f t="shared" ref="G135:G142" si="15">ROUND(E135*F135,2)</f>
        <v>13380.12</v>
      </c>
      <c r="H135" s="264"/>
      <c r="I135" s="195"/>
      <c r="K135" s="260">
        <f>1592.4+500+4100*2</f>
        <v>10292.4</v>
      </c>
    </row>
    <row r="136" spans="1:12" s="188" customFormat="1" ht="11.25" hidden="1" x14ac:dyDescent="0.2">
      <c r="A136" s="283"/>
      <c r="B136" s="271"/>
      <c r="C136" s="265" t="s">
        <v>560</v>
      </c>
      <c r="D136" s="282" t="s">
        <v>393</v>
      </c>
      <c r="E136" s="253">
        <v>74</v>
      </c>
      <c r="F136" s="258">
        <f t="shared" si="14"/>
        <v>368.29</v>
      </c>
      <c r="G136" s="258">
        <f t="shared" si="15"/>
        <v>27253.46</v>
      </c>
      <c r="H136" s="264"/>
      <c r="I136" s="185"/>
      <c r="K136" s="260">
        <f>167.94+50+42+23.36</f>
        <v>283.3</v>
      </c>
      <c r="L136" s="188">
        <f>3100/74</f>
        <v>41.891891891891895</v>
      </c>
    </row>
    <row r="137" spans="1:12" s="188" customFormat="1" ht="11.25" hidden="1" x14ac:dyDescent="0.2">
      <c r="A137" s="283"/>
      <c r="B137" s="271"/>
      <c r="C137" s="265" t="s">
        <v>561</v>
      </c>
      <c r="D137" s="282" t="s">
        <v>393</v>
      </c>
      <c r="E137" s="253">
        <v>1</v>
      </c>
      <c r="F137" s="258">
        <f t="shared" si="14"/>
        <v>532.97400000000005</v>
      </c>
      <c r="G137" s="258">
        <f t="shared" si="15"/>
        <v>532.97</v>
      </c>
      <c r="H137" s="264"/>
      <c r="I137" s="185"/>
      <c r="K137" s="260">
        <f>186.62+100+100+23.36</f>
        <v>409.98</v>
      </c>
    </row>
    <row r="138" spans="1:12" s="188" customFormat="1" ht="11.25" hidden="1" x14ac:dyDescent="0.2">
      <c r="A138" s="283"/>
      <c r="B138" s="271"/>
      <c r="C138" s="284" t="s">
        <v>562</v>
      </c>
      <c r="D138" s="282" t="s">
        <v>393</v>
      </c>
      <c r="E138" s="253">
        <v>1</v>
      </c>
      <c r="F138" s="258">
        <f t="shared" si="14"/>
        <v>799.86399999999992</v>
      </c>
      <c r="G138" s="258">
        <f t="shared" si="15"/>
        <v>799.86</v>
      </c>
      <c r="H138" s="264"/>
      <c r="I138" s="185"/>
      <c r="K138" s="260">
        <f>515.28+100</f>
        <v>615.28</v>
      </c>
    </row>
    <row r="139" spans="1:12" s="189" customFormat="1" ht="11.25" hidden="1" x14ac:dyDescent="0.2">
      <c r="A139" s="283"/>
      <c r="B139" s="271"/>
      <c r="C139" s="284" t="s">
        <v>563</v>
      </c>
      <c r="D139" s="282" t="s">
        <v>393</v>
      </c>
      <c r="E139" s="253">
        <v>1</v>
      </c>
      <c r="F139" s="258">
        <f t="shared" si="14"/>
        <v>347.63299999999992</v>
      </c>
      <c r="G139" s="258">
        <f t="shared" si="15"/>
        <v>347.63</v>
      </c>
      <c r="H139" s="264"/>
      <c r="I139" s="195"/>
      <c r="K139" s="260">
        <f>167.41+100</f>
        <v>267.40999999999997</v>
      </c>
    </row>
    <row r="140" spans="1:12" s="189" customFormat="1" ht="11.25" hidden="1" x14ac:dyDescent="0.2">
      <c r="A140" s="283"/>
      <c r="B140" s="271"/>
      <c r="C140" s="284" t="s">
        <v>564</v>
      </c>
      <c r="D140" s="282" t="s">
        <v>393</v>
      </c>
      <c r="E140" s="253">
        <v>2</v>
      </c>
      <c r="F140" s="258">
        <f t="shared" si="14"/>
        <v>395.42099999999994</v>
      </c>
      <c r="G140" s="258">
        <f t="shared" si="15"/>
        <v>790.84</v>
      </c>
      <c r="H140" s="264"/>
      <c r="I140" s="195"/>
      <c r="K140" s="260">
        <f>204.17+100</f>
        <v>304.16999999999996</v>
      </c>
    </row>
    <row r="141" spans="1:12" s="189" customFormat="1" ht="11.25" hidden="1" x14ac:dyDescent="0.2">
      <c r="A141" s="283"/>
      <c r="B141" s="271"/>
      <c r="C141" s="284" t="s">
        <v>565</v>
      </c>
      <c r="D141" s="282" t="s">
        <v>393</v>
      </c>
      <c r="E141" s="253">
        <v>2</v>
      </c>
      <c r="F141" s="258">
        <f t="shared" si="14"/>
        <v>402.81799999999998</v>
      </c>
      <c r="G141" s="258">
        <f t="shared" si="15"/>
        <v>805.64</v>
      </c>
      <c r="H141" s="264"/>
      <c r="I141" s="195"/>
      <c r="K141" s="260">
        <f>209.86+100</f>
        <v>309.86</v>
      </c>
    </row>
    <row r="142" spans="1:12" s="287" customFormat="1" ht="22.5" hidden="1" x14ac:dyDescent="0.2">
      <c r="A142" s="283"/>
      <c r="B142" s="271"/>
      <c r="C142" s="284" t="s">
        <v>566</v>
      </c>
      <c r="D142" s="282" t="s">
        <v>393</v>
      </c>
      <c r="E142" s="253">
        <v>2</v>
      </c>
      <c r="F142" s="258">
        <f t="shared" si="14"/>
        <v>143.208</v>
      </c>
      <c r="G142" s="258">
        <f t="shared" si="15"/>
        <v>286.42</v>
      </c>
      <c r="H142" s="279"/>
      <c r="I142" s="179"/>
      <c r="K142" s="260">
        <f>90.16+20</f>
        <v>110.16</v>
      </c>
    </row>
    <row r="143" spans="1:12" s="189" customFormat="1" ht="11.25" hidden="1" x14ac:dyDescent="0.2">
      <c r="A143" s="283"/>
      <c r="B143" s="271"/>
      <c r="C143" s="284"/>
      <c r="D143" s="282"/>
      <c r="E143" s="253"/>
      <c r="F143" s="258"/>
      <c r="G143" s="258"/>
      <c r="H143" s="264"/>
      <c r="I143" s="195"/>
      <c r="K143" s="260"/>
    </row>
    <row r="144" spans="1:12" s="189" customFormat="1" ht="11.25" hidden="1" customHeight="1" x14ac:dyDescent="0.2">
      <c r="A144" s="249" t="s">
        <v>567</v>
      </c>
      <c r="B144" s="1314" t="s">
        <v>568</v>
      </c>
      <c r="C144" s="1315"/>
      <c r="D144" s="267"/>
      <c r="E144" s="285"/>
      <c r="F144" s="268"/>
      <c r="G144" s="268"/>
      <c r="H144" s="269">
        <f>SUM(G144:G151)</f>
        <v>274216.09999999998</v>
      </c>
      <c r="I144" s="195"/>
      <c r="K144" s="260"/>
    </row>
    <row r="145" spans="1:12" s="189" customFormat="1" ht="11.25" hidden="1" x14ac:dyDescent="0.2">
      <c r="A145" s="283"/>
      <c r="B145" s="1313" t="s">
        <v>569</v>
      </c>
      <c r="C145" s="1313"/>
      <c r="D145" s="275"/>
      <c r="E145" s="253"/>
      <c r="F145" s="258"/>
      <c r="G145" s="258"/>
      <c r="H145" s="264"/>
      <c r="I145" s="195"/>
      <c r="K145" s="260"/>
    </row>
    <row r="146" spans="1:12" s="189" customFormat="1" ht="56.25" hidden="1" x14ac:dyDescent="0.2">
      <c r="A146" s="283"/>
      <c r="B146" s="271"/>
      <c r="C146" s="265" t="s">
        <v>570</v>
      </c>
      <c r="D146" s="266" t="s">
        <v>393</v>
      </c>
      <c r="E146" s="253">
        <v>2</v>
      </c>
      <c r="F146" s="258">
        <f>IF(E146&gt;0,K146*$K$9+K146,0)</f>
        <v>2310.8150000000001</v>
      </c>
      <c r="G146" s="258">
        <f>ROUND(E146*F146,2)</f>
        <v>4621.63</v>
      </c>
      <c r="H146" s="264"/>
      <c r="I146" s="195"/>
      <c r="K146" s="260">
        <v>1777.55</v>
      </c>
      <c r="L146" s="288"/>
    </row>
    <row r="147" spans="1:12" s="189" customFormat="1" ht="56.25" hidden="1" x14ac:dyDescent="0.2">
      <c r="A147" s="283"/>
      <c r="B147" s="271"/>
      <c r="C147" s="265" t="s">
        <v>571</v>
      </c>
      <c r="D147" s="266" t="s">
        <v>393</v>
      </c>
      <c r="E147" s="253">
        <v>14</v>
      </c>
      <c r="F147" s="258">
        <f>IF(E147&gt;0,K147*$K$9+K147,0)</f>
        <v>3081.078</v>
      </c>
      <c r="G147" s="258">
        <f>ROUND(E147*F147,2)</f>
        <v>43135.09</v>
      </c>
      <c r="H147" s="264"/>
      <c r="I147" s="195"/>
      <c r="K147" s="260">
        <v>2370.06</v>
      </c>
      <c r="L147" s="288"/>
    </row>
    <row r="148" spans="1:12" s="189" customFormat="1" ht="56.25" hidden="1" x14ac:dyDescent="0.2">
      <c r="A148" s="283"/>
      <c r="B148" s="271"/>
      <c r="C148" s="265" t="s">
        <v>572</v>
      </c>
      <c r="D148" s="266" t="s">
        <v>393</v>
      </c>
      <c r="E148" s="253">
        <v>29</v>
      </c>
      <c r="F148" s="258">
        <f>IF(E148&gt;0,K148*$K$9+K148,0)</f>
        <v>4621.6170000000002</v>
      </c>
      <c r="G148" s="258">
        <f>ROUND(E148*F148,2)</f>
        <v>134026.89000000001</v>
      </c>
      <c r="H148" s="264"/>
      <c r="I148" s="195"/>
      <c r="K148" s="260">
        <v>3555.09</v>
      </c>
      <c r="L148" s="288"/>
    </row>
    <row r="149" spans="1:12" s="189" customFormat="1" ht="56.25" hidden="1" x14ac:dyDescent="0.2">
      <c r="A149" s="283"/>
      <c r="B149" s="271"/>
      <c r="C149" s="265" t="s">
        <v>573</v>
      </c>
      <c r="D149" s="266" t="s">
        <v>393</v>
      </c>
      <c r="E149" s="253">
        <v>2</v>
      </c>
      <c r="F149" s="258">
        <f>IF(E149&gt;0,K149*$K$9+K149,0)</f>
        <v>15405.415999999999</v>
      </c>
      <c r="G149" s="258">
        <f>ROUND(E149*F149,2)</f>
        <v>30810.83</v>
      </c>
      <c r="H149" s="264"/>
      <c r="I149" s="195"/>
      <c r="K149" s="260">
        <v>11850.32</v>
      </c>
      <c r="L149" s="288"/>
    </row>
    <row r="150" spans="1:12" s="189" customFormat="1" ht="56.25" hidden="1" x14ac:dyDescent="0.2">
      <c r="A150" s="283"/>
      <c r="B150" s="271"/>
      <c r="C150" s="265" t="s">
        <v>574</v>
      </c>
      <c r="D150" s="266" t="s">
        <v>393</v>
      </c>
      <c r="E150" s="253">
        <v>4</v>
      </c>
      <c r="F150" s="258">
        <f>IF(E150&gt;0,K150*$K$9+K150,0)</f>
        <v>15405.415999999999</v>
      </c>
      <c r="G150" s="258">
        <f>ROUND(E150*F150,2)</f>
        <v>61621.66</v>
      </c>
      <c r="H150" s="264"/>
      <c r="I150" s="195"/>
      <c r="K150" s="260">
        <v>11850.32</v>
      </c>
      <c r="L150" s="288"/>
    </row>
    <row r="151" spans="1:12" s="189" customFormat="1" ht="11.25" hidden="1" x14ac:dyDescent="0.2">
      <c r="A151" s="289"/>
      <c r="B151" s="271"/>
      <c r="C151" s="265"/>
      <c r="D151" s="282"/>
      <c r="E151" s="253"/>
      <c r="F151" s="258"/>
      <c r="G151" s="258"/>
      <c r="H151" s="264"/>
      <c r="I151" s="195"/>
      <c r="K151" s="260"/>
    </row>
    <row r="152" spans="1:12" s="188" customFormat="1" ht="11.25" hidden="1" customHeight="1" x14ac:dyDescent="0.2">
      <c r="A152" s="249">
        <v>25</v>
      </c>
      <c r="B152" s="1314" t="s">
        <v>575</v>
      </c>
      <c r="C152" s="1315"/>
      <c r="D152" s="267"/>
      <c r="E152" s="285"/>
      <c r="F152" s="268"/>
      <c r="G152" s="268"/>
      <c r="H152" s="269">
        <f>SUM(G152:G155)</f>
        <v>141356.03</v>
      </c>
      <c r="I152" s="185"/>
      <c r="K152" s="260"/>
    </row>
    <row r="153" spans="1:12" s="188" customFormat="1" ht="90" hidden="1" x14ac:dyDescent="0.2">
      <c r="A153" s="283"/>
      <c r="B153" s="271"/>
      <c r="C153" s="290" t="s">
        <v>576</v>
      </c>
      <c r="D153" s="282" t="s">
        <v>393</v>
      </c>
      <c r="E153" s="253">
        <v>1</v>
      </c>
      <c r="F153" s="258">
        <f>IF(E153&gt;0,K153*$K$9+K153,0)</f>
        <v>101056.033</v>
      </c>
      <c r="G153" s="258">
        <f>ROUND(E153*F153,2)</f>
        <v>101056.03</v>
      </c>
      <c r="H153" s="264"/>
      <c r="I153" s="185"/>
      <c r="J153" s="185"/>
      <c r="K153" s="260">
        <v>77735.41</v>
      </c>
    </row>
    <row r="154" spans="1:12" s="189" customFormat="1" ht="11.25" hidden="1" x14ac:dyDescent="0.2">
      <c r="A154" s="283"/>
      <c r="B154" s="271"/>
      <c r="C154" s="284" t="s">
        <v>577</v>
      </c>
      <c r="D154" s="282" t="s">
        <v>393</v>
      </c>
      <c r="E154" s="253">
        <v>1</v>
      </c>
      <c r="F154" s="258">
        <f>IF(E154&gt;0,K154*$K$9+K154,0)</f>
        <v>40300</v>
      </c>
      <c r="G154" s="258">
        <f>ROUND(E154*F154,2)</f>
        <v>40300</v>
      </c>
      <c r="H154" s="264"/>
      <c r="I154" s="195"/>
      <c r="K154" s="260">
        <v>31000</v>
      </c>
    </row>
    <row r="155" spans="1:12" s="189" customFormat="1" ht="11.25" hidden="1" x14ac:dyDescent="0.2">
      <c r="A155" s="283"/>
      <c r="B155" s="271"/>
      <c r="C155" s="284"/>
      <c r="D155" s="282"/>
      <c r="E155" s="253"/>
      <c r="F155" s="258"/>
      <c r="G155" s="258"/>
      <c r="H155" s="264"/>
      <c r="I155" s="195"/>
      <c r="K155" s="260"/>
    </row>
    <row r="156" spans="1:12" s="189" customFormat="1" ht="11.25" hidden="1" customHeight="1" x14ac:dyDescent="0.2">
      <c r="A156" s="249" t="s">
        <v>578</v>
      </c>
      <c r="B156" s="1314" t="s">
        <v>579</v>
      </c>
      <c r="C156" s="1315"/>
      <c r="D156" s="267"/>
      <c r="E156" s="285"/>
      <c r="F156" s="268"/>
      <c r="G156" s="268"/>
      <c r="H156" s="269">
        <f>SUM(G156:G159)</f>
        <v>22152.43</v>
      </c>
      <c r="I156" s="195"/>
      <c r="K156" s="260"/>
    </row>
    <row r="157" spans="1:12" s="189" customFormat="1" ht="11.25" hidden="1" x14ac:dyDescent="0.2">
      <c r="A157" s="254"/>
      <c r="B157" s="271"/>
      <c r="C157" s="265" t="s">
        <v>580</v>
      </c>
      <c r="D157" s="266" t="s">
        <v>203</v>
      </c>
      <c r="E157" s="253">
        <v>16.2</v>
      </c>
      <c r="F157" s="258">
        <f>IF(E157&gt;0,K157*$K$9+K157,0)</f>
        <v>870.54499999999996</v>
      </c>
      <c r="G157" s="258">
        <f>ROUND(E157*F157,2)</f>
        <v>14102.83</v>
      </c>
      <c r="H157" s="264"/>
      <c r="I157" s="195"/>
      <c r="K157" s="260">
        <f>669.65</f>
        <v>669.65</v>
      </c>
    </row>
    <row r="158" spans="1:12" s="188" customFormat="1" ht="11.25" hidden="1" x14ac:dyDescent="0.2">
      <c r="A158" s="254"/>
      <c r="B158" s="271"/>
      <c r="C158" s="265" t="s">
        <v>581</v>
      </c>
      <c r="D158" s="266" t="s">
        <v>203</v>
      </c>
      <c r="E158" s="253">
        <v>12.8</v>
      </c>
      <c r="F158" s="258">
        <f>IF(E158&gt;0,K158*$K$9+K158,0)</f>
        <v>628.875</v>
      </c>
      <c r="G158" s="258">
        <f>ROUND(E158*F158,2)</f>
        <v>8049.6</v>
      </c>
      <c r="H158" s="264"/>
      <c r="I158" s="185"/>
      <c r="J158" s="185"/>
      <c r="K158" s="260">
        <v>483.75</v>
      </c>
    </row>
    <row r="159" spans="1:12" s="188" customFormat="1" ht="11.25" hidden="1" x14ac:dyDescent="0.2">
      <c r="A159" s="254"/>
      <c r="B159" s="271"/>
      <c r="C159" s="265"/>
      <c r="D159" s="266"/>
      <c r="E159" s="253"/>
      <c r="F159" s="258"/>
      <c r="G159" s="258"/>
      <c r="H159" s="264"/>
      <c r="I159" s="185"/>
      <c r="J159" s="185"/>
      <c r="K159" s="260"/>
    </row>
    <row r="160" spans="1:12" s="188" customFormat="1" ht="11.25" hidden="1" customHeight="1" x14ac:dyDescent="0.2">
      <c r="A160" s="249" t="s">
        <v>582</v>
      </c>
      <c r="B160" s="1314" t="s">
        <v>583</v>
      </c>
      <c r="C160" s="1315"/>
      <c r="D160" s="267"/>
      <c r="E160" s="285"/>
      <c r="F160" s="268"/>
      <c r="G160" s="268"/>
      <c r="H160" s="269">
        <f>SUM(G160:G166)</f>
        <v>172224.83000000002</v>
      </c>
      <c r="I160" s="185"/>
      <c r="J160" s="185"/>
      <c r="K160" s="260"/>
    </row>
    <row r="161" spans="1:11" s="188" customFormat="1" ht="22.5" hidden="1" x14ac:dyDescent="0.2">
      <c r="A161" s="291"/>
      <c r="B161" s="271"/>
      <c r="C161" s="292" t="s">
        <v>584</v>
      </c>
      <c r="D161" s="282" t="s">
        <v>321</v>
      </c>
      <c r="E161" s="253">
        <v>133.37</v>
      </c>
      <c r="F161" s="258">
        <f>IF(E161&gt;0,K161*$K$9+K161,0)</f>
        <v>156</v>
      </c>
      <c r="G161" s="258">
        <f>ROUND(E161*F161,2)</f>
        <v>20805.72</v>
      </c>
      <c r="H161" s="264"/>
      <c r="I161" s="185"/>
      <c r="J161" s="185"/>
      <c r="K161" s="260">
        <v>120</v>
      </c>
    </row>
    <row r="162" spans="1:11" s="188" customFormat="1" ht="11.25" hidden="1" x14ac:dyDescent="0.2">
      <c r="A162" s="291"/>
      <c r="B162" s="271"/>
      <c r="C162" s="292" t="s">
        <v>585</v>
      </c>
      <c r="D162" s="282" t="s">
        <v>321</v>
      </c>
      <c r="E162" s="253">
        <v>133.37</v>
      </c>
      <c r="F162" s="258">
        <f>IF(E162&gt;0,K162*$K$9+K162,0)</f>
        <v>123.526</v>
      </c>
      <c r="G162" s="258">
        <f>ROUND(E162*F162,2)</f>
        <v>16474.66</v>
      </c>
      <c r="H162" s="264"/>
      <c r="I162" s="185"/>
      <c r="J162" s="185"/>
      <c r="K162" s="260">
        <v>95.02</v>
      </c>
    </row>
    <row r="163" spans="1:11" s="188" customFormat="1" ht="33.75" hidden="1" x14ac:dyDescent="0.2">
      <c r="A163" s="291"/>
      <c r="B163" s="271"/>
      <c r="C163" s="292" t="s">
        <v>586</v>
      </c>
      <c r="D163" s="282" t="s">
        <v>321</v>
      </c>
      <c r="E163" s="253">
        <v>23.4</v>
      </c>
      <c r="F163" s="258">
        <f>IF(E163&gt;0,K163*$K$9+K163,0)</f>
        <v>715</v>
      </c>
      <c r="G163" s="258">
        <f>ROUND(E163*F163,2)</f>
        <v>16731</v>
      </c>
      <c r="H163" s="264"/>
      <c r="I163" s="185"/>
      <c r="J163" s="185"/>
      <c r="K163" s="260">
        <v>550</v>
      </c>
    </row>
    <row r="164" spans="1:11" s="188" customFormat="1" ht="123.75" hidden="1" x14ac:dyDescent="0.2">
      <c r="A164" s="291"/>
      <c r="B164" s="271"/>
      <c r="C164" s="292" t="s">
        <v>587</v>
      </c>
      <c r="D164" s="266" t="s">
        <v>393</v>
      </c>
      <c r="E164" s="293">
        <v>2</v>
      </c>
      <c r="F164" s="258">
        <f>IF(E164&gt;0,K164*$K$9+K164,0)</f>
        <v>8463</v>
      </c>
      <c r="G164" s="258">
        <f>ROUND(E164*F164,2)</f>
        <v>16926</v>
      </c>
      <c r="H164" s="264"/>
      <c r="I164" s="185"/>
      <c r="J164" s="185"/>
      <c r="K164" s="260">
        <f>2100*3.1</f>
        <v>6510</v>
      </c>
    </row>
    <row r="165" spans="1:11" s="188" customFormat="1" ht="67.5" hidden="1" x14ac:dyDescent="0.2">
      <c r="A165" s="291"/>
      <c r="B165" s="271"/>
      <c r="C165" s="292" t="s">
        <v>588</v>
      </c>
      <c r="D165" s="282" t="s">
        <v>321</v>
      </c>
      <c r="E165" s="293">
        <v>33.54</v>
      </c>
      <c r="F165" s="258">
        <f>IF(E165&gt;0,K165*$K$9+K165,0)</f>
        <v>3019.9</v>
      </c>
      <c r="G165" s="258">
        <f>ROUND(E165*F165,2)</f>
        <v>101287.45</v>
      </c>
      <c r="H165" s="264"/>
      <c r="I165" s="185"/>
      <c r="J165" s="185"/>
      <c r="K165" s="260">
        <v>2323</v>
      </c>
    </row>
    <row r="166" spans="1:11" s="188" customFormat="1" ht="11.25" hidden="1" x14ac:dyDescent="0.2">
      <c r="A166" s="291"/>
      <c r="B166" s="271"/>
      <c r="C166" s="284"/>
      <c r="D166" s="282"/>
      <c r="E166" s="253"/>
      <c r="F166" s="258"/>
      <c r="G166" s="258"/>
      <c r="H166" s="264"/>
      <c r="I166" s="185"/>
      <c r="J166" s="185"/>
      <c r="K166" s="260"/>
    </row>
    <row r="167" spans="1:11" s="188" customFormat="1" ht="11.25" hidden="1" customHeight="1" x14ac:dyDescent="0.2">
      <c r="A167" s="249" t="s">
        <v>589</v>
      </c>
      <c r="B167" s="1314" t="s">
        <v>590</v>
      </c>
      <c r="C167" s="1315"/>
      <c r="D167" s="267"/>
      <c r="E167" s="285"/>
      <c r="F167" s="268"/>
      <c r="G167" s="268"/>
      <c r="H167" s="269">
        <f>SUM(G167:G169)</f>
        <v>936</v>
      </c>
      <c r="I167" s="185"/>
      <c r="J167" s="185"/>
      <c r="K167" s="260"/>
    </row>
    <row r="168" spans="1:11" s="188" customFormat="1" ht="11.25" hidden="1" x14ac:dyDescent="0.2">
      <c r="A168" s="283"/>
      <c r="B168" s="1313" t="s">
        <v>591</v>
      </c>
      <c r="C168" s="1313"/>
      <c r="D168" s="275"/>
      <c r="E168" s="253"/>
      <c r="F168" s="258"/>
      <c r="G168" s="258"/>
      <c r="H168" s="264"/>
      <c r="I168" s="185"/>
      <c r="J168" s="185"/>
      <c r="K168" s="260"/>
    </row>
    <row r="169" spans="1:11" s="188" customFormat="1" ht="11.25" hidden="1" x14ac:dyDescent="0.2">
      <c r="A169" s="291"/>
      <c r="B169" s="271"/>
      <c r="C169" s="284" t="s">
        <v>592</v>
      </c>
      <c r="D169" s="282" t="s">
        <v>203</v>
      </c>
      <c r="E169" s="253">
        <v>24</v>
      </c>
      <c r="F169" s="258">
        <f>IF(E169&gt;0,K169*$K$9+K169,0)</f>
        <v>39</v>
      </c>
      <c r="G169" s="258">
        <f>ROUND(E169*F169,2)</f>
        <v>936</v>
      </c>
      <c r="H169" s="264"/>
      <c r="I169" s="185"/>
      <c r="J169" s="185"/>
      <c r="K169" s="260">
        <v>30</v>
      </c>
    </row>
    <row r="170" spans="1:11" s="188" customFormat="1" ht="11.25" hidden="1" x14ac:dyDescent="0.2">
      <c r="A170" s="291"/>
      <c r="B170" s="294"/>
      <c r="C170" s="295"/>
      <c r="D170" s="282"/>
      <c r="E170" s="253"/>
      <c r="F170" s="258"/>
      <c r="G170" s="258"/>
      <c r="H170" s="264"/>
      <c r="I170" s="185"/>
      <c r="J170" s="185"/>
      <c r="K170" s="260"/>
    </row>
    <row r="171" spans="1:11" s="188" customFormat="1" ht="11.25" hidden="1" customHeight="1" x14ac:dyDescent="0.2">
      <c r="A171" s="249" t="s">
        <v>593</v>
      </c>
      <c r="B171" s="1314" t="s">
        <v>594</v>
      </c>
      <c r="C171" s="1315"/>
      <c r="D171" s="267"/>
      <c r="E171" s="285"/>
      <c r="F171" s="268"/>
      <c r="G171" s="268"/>
      <c r="H171" s="269">
        <f>SUM(G171:G188)</f>
        <v>9453.93</v>
      </c>
      <c r="I171" s="185"/>
      <c r="J171" s="185"/>
      <c r="K171" s="260"/>
    </row>
    <row r="172" spans="1:11" s="188" customFormat="1" ht="22.5" hidden="1" x14ac:dyDescent="0.2">
      <c r="A172" s="291"/>
      <c r="B172" s="271"/>
      <c r="C172" s="284" t="s">
        <v>595</v>
      </c>
      <c r="D172" s="282" t="s">
        <v>203</v>
      </c>
      <c r="E172" s="253">
        <v>116</v>
      </c>
      <c r="F172" s="258">
        <f t="shared" ref="F172:F187" si="16">IF(E172&gt;0,K172*$K$9+K172,0)</f>
        <v>21.580000000000002</v>
      </c>
      <c r="G172" s="258">
        <f t="shared" ref="G172:G187" si="17">ROUND(E172*F172,2)</f>
        <v>2503.2800000000002</v>
      </c>
      <c r="H172" s="264"/>
      <c r="I172" s="185"/>
      <c r="J172" s="185"/>
      <c r="K172" s="260">
        <v>16.600000000000001</v>
      </c>
    </row>
    <row r="173" spans="1:11" s="188" customFormat="1" ht="22.5" hidden="1" x14ac:dyDescent="0.2">
      <c r="A173" s="291"/>
      <c r="B173" s="271"/>
      <c r="C173" s="284" t="s">
        <v>596</v>
      </c>
      <c r="D173" s="282" t="s">
        <v>203</v>
      </c>
      <c r="E173" s="253">
        <v>25.6</v>
      </c>
      <c r="F173" s="258">
        <f t="shared" si="16"/>
        <v>57.876000000000005</v>
      </c>
      <c r="G173" s="258">
        <f t="shared" si="17"/>
        <v>1481.63</v>
      </c>
      <c r="H173" s="264"/>
      <c r="I173" s="185"/>
      <c r="J173" s="185"/>
      <c r="K173" s="260">
        <v>44.52</v>
      </c>
    </row>
    <row r="174" spans="1:11" s="188" customFormat="1" ht="22.5" hidden="1" x14ac:dyDescent="0.2">
      <c r="A174" s="291"/>
      <c r="B174" s="271"/>
      <c r="C174" s="284" t="s">
        <v>597</v>
      </c>
      <c r="D174" s="282" t="s">
        <v>393</v>
      </c>
      <c r="E174" s="253">
        <v>2</v>
      </c>
      <c r="F174" s="258">
        <f t="shared" si="16"/>
        <v>14.923999999999999</v>
      </c>
      <c r="G174" s="258">
        <f t="shared" si="17"/>
        <v>29.85</v>
      </c>
      <c r="H174" s="264"/>
      <c r="I174" s="185"/>
      <c r="J174" s="185"/>
      <c r="K174" s="260">
        <v>11.48</v>
      </c>
    </row>
    <row r="175" spans="1:11" s="188" customFormat="1" ht="22.5" hidden="1" x14ac:dyDescent="0.2">
      <c r="A175" s="291"/>
      <c r="B175" s="271"/>
      <c r="C175" s="284" t="s">
        <v>598</v>
      </c>
      <c r="D175" s="282" t="s">
        <v>393</v>
      </c>
      <c r="E175" s="253">
        <v>1</v>
      </c>
      <c r="F175" s="258">
        <f t="shared" si="16"/>
        <v>55.223999999999997</v>
      </c>
      <c r="G175" s="258">
        <f t="shared" si="17"/>
        <v>55.22</v>
      </c>
      <c r="H175" s="264"/>
      <c r="I175" s="185"/>
      <c r="J175" s="185"/>
      <c r="K175" s="260">
        <v>42.48</v>
      </c>
    </row>
    <row r="176" spans="1:11" s="188" customFormat="1" ht="11.25" hidden="1" x14ac:dyDescent="0.2">
      <c r="A176" s="291"/>
      <c r="B176" s="271"/>
      <c r="C176" s="284" t="s">
        <v>599</v>
      </c>
      <c r="D176" s="282" t="s">
        <v>393</v>
      </c>
      <c r="E176" s="253">
        <v>1</v>
      </c>
      <c r="F176" s="258">
        <f t="shared" si="16"/>
        <v>109.82400000000001</v>
      </c>
      <c r="G176" s="258">
        <f t="shared" si="17"/>
        <v>109.82</v>
      </c>
      <c r="H176" s="264"/>
      <c r="I176" s="185"/>
      <c r="J176" s="185"/>
      <c r="K176" s="260">
        <v>84.48</v>
      </c>
    </row>
    <row r="177" spans="1:11" s="188" customFormat="1" ht="11.25" hidden="1" x14ac:dyDescent="0.2">
      <c r="A177" s="291"/>
      <c r="B177" s="271"/>
      <c r="C177" s="284" t="s">
        <v>600</v>
      </c>
      <c r="D177" s="282" t="s">
        <v>393</v>
      </c>
      <c r="E177" s="253">
        <v>3</v>
      </c>
      <c r="F177" s="258">
        <f t="shared" si="16"/>
        <v>97.084000000000003</v>
      </c>
      <c r="G177" s="258">
        <f t="shared" si="17"/>
        <v>291.25</v>
      </c>
      <c r="H177" s="264"/>
      <c r="I177" s="185"/>
      <c r="J177" s="185"/>
      <c r="K177" s="260">
        <v>74.680000000000007</v>
      </c>
    </row>
    <row r="178" spans="1:11" s="188" customFormat="1" ht="11.25" hidden="1" x14ac:dyDescent="0.2">
      <c r="A178" s="291"/>
      <c r="B178" s="271"/>
      <c r="C178" s="284" t="s">
        <v>601</v>
      </c>
      <c r="D178" s="282" t="s">
        <v>393</v>
      </c>
      <c r="E178" s="253">
        <v>1</v>
      </c>
      <c r="F178" s="258">
        <f t="shared" si="16"/>
        <v>97.084000000000003</v>
      </c>
      <c r="G178" s="258">
        <f t="shared" si="17"/>
        <v>97.08</v>
      </c>
      <c r="H178" s="264"/>
      <c r="I178" s="185"/>
      <c r="J178" s="185"/>
      <c r="K178" s="260">
        <v>74.680000000000007</v>
      </c>
    </row>
    <row r="179" spans="1:11" s="188" customFormat="1" ht="11.25" hidden="1" x14ac:dyDescent="0.2">
      <c r="A179" s="291"/>
      <c r="B179" s="271"/>
      <c r="C179" s="284" t="s">
        <v>602</v>
      </c>
      <c r="D179" s="282" t="s">
        <v>393</v>
      </c>
      <c r="E179" s="253">
        <v>2</v>
      </c>
      <c r="F179" s="258">
        <f t="shared" si="16"/>
        <v>97.084000000000003</v>
      </c>
      <c r="G179" s="258">
        <f t="shared" si="17"/>
        <v>194.17</v>
      </c>
      <c r="H179" s="264"/>
      <c r="I179" s="185"/>
      <c r="J179" s="185"/>
      <c r="K179" s="260">
        <v>74.680000000000007</v>
      </c>
    </row>
    <row r="180" spans="1:11" s="188" customFormat="1" ht="22.5" hidden="1" x14ac:dyDescent="0.2">
      <c r="A180" s="291"/>
      <c r="B180" s="271"/>
      <c r="C180" s="284" t="s">
        <v>603</v>
      </c>
      <c r="D180" s="282" t="s">
        <v>393</v>
      </c>
      <c r="E180" s="253">
        <v>1</v>
      </c>
      <c r="F180" s="258">
        <f t="shared" si="16"/>
        <v>72.539999999999992</v>
      </c>
      <c r="G180" s="258">
        <f t="shared" si="17"/>
        <v>72.540000000000006</v>
      </c>
      <c r="H180" s="264"/>
      <c r="I180" s="185"/>
      <c r="J180" s="185"/>
      <c r="K180" s="260">
        <v>55.8</v>
      </c>
    </row>
    <row r="181" spans="1:11" s="188" customFormat="1" ht="22.5" hidden="1" x14ac:dyDescent="0.2">
      <c r="A181" s="291"/>
      <c r="B181" s="271"/>
      <c r="C181" s="284" t="s">
        <v>604</v>
      </c>
      <c r="D181" s="282" t="s">
        <v>393</v>
      </c>
      <c r="E181" s="253">
        <v>3</v>
      </c>
      <c r="F181" s="258">
        <f t="shared" si="16"/>
        <v>72.539999999999992</v>
      </c>
      <c r="G181" s="258">
        <f t="shared" si="17"/>
        <v>217.62</v>
      </c>
      <c r="H181" s="264"/>
      <c r="I181" s="185"/>
      <c r="J181" s="185"/>
      <c r="K181" s="260">
        <v>55.8</v>
      </c>
    </row>
    <row r="182" spans="1:11" s="188" customFormat="1" ht="22.5" hidden="1" x14ac:dyDescent="0.2">
      <c r="A182" s="291"/>
      <c r="B182" s="271"/>
      <c r="C182" s="284" t="s">
        <v>605</v>
      </c>
      <c r="D182" s="282" t="s">
        <v>393</v>
      </c>
      <c r="E182" s="253">
        <v>1</v>
      </c>
      <c r="F182" s="258">
        <f t="shared" si="16"/>
        <v>72.539999999999992</v>
      </c>
      <c r="G182" s="258">
        <f t="shared" si="17"/>
        <v>72.540000000000006</v>
      </c>
      <c r="H182" s="264"/>
      <c r="I182" s="185"/>
      <c r="J182" s="185"/>
      <c r="K182" s="260">
        <v>55.8</v>
      </c>
    </row>
    <row r="183" spans="1:11" s="188" customFormat="1" ht="22.5" hidden="1" x14ac:dyDescent="0.2">
      <c r="A183" s="291"/>
      <c r="B183" s="271"/>
      <c r="C183" s="284" t="s">
        <v>606</v>
      </c>
      <c r="D183" s="282" t="s">
        <v>393</v>
      </c>
      <c r="E183" s="253">
        <v>2</v>
      </c>
      <c r="F183" s="258">
        <f t="shared" si="16"/>
        <v>72.539999999999992</v>
      </c>
      <c r="G183" s="258">
        <f t="shared" si="17"/>
        <v>145.08000000000001</v>
      </c>
      <c r="H183" s="264"/>
      <c r="I183" s="185"/>
      <c r="J183" s="185"/>
      <c r="K183" s="260">
        <v>55.8</v>
      </c>
    </row>
    <row r="184" spans="1:11" s="188" customFormat="1" ht="22.5" hidden="1" x14ac:dyDescent="0.2">
      <c r="A184" s="291"/>
      <c r="B184" s="271"/>
      <c r="C184" s="284" t="s">
        <v>607</v>
      </c>
      <c r="D184" s="282" t="s">
        <v>393</v>
      </c>
      <c r="E184" s="253">
        <v>14</v>
      </c>
      <c r="F184" s="258">
        <f t="shared" si="16"/>
        <v>26.923000000000002</v>
      </c>
      <c r="G184" s="258">
        <f t="shared" si="17"/>
        <v>376.92</v>
      </c>
      <c r="H184" s="264"/>
      <c r="I184" s="185"/>
      <c r="J184" s="185"/>
      <c r="K184" s="260">
        <v>20.71</v>
      </c>
    </row>
    <row r="185" spans="1:11" s="188" customFormat="1" ht="22.5" hidden="1" x14ac:dyDescent="0.2">
      <c r="A185" s="291"/>
      <c r="B185" s="271"/>
      <c r="C185" s="284" t="s">
        <v>608</v>
      </c>
      <c r="D185" s="282" t="s">
        <v>393</v>
      </c>
      <c r="E185" s="253">
        <v>14</v>
      </c>
      <c r="F185" s="258">
        <f t="shared" si="16"/>
        <v>32.577999999999996</v>
      </c>
      <c r="G185" s="258">
        <f t="shared" si="17"/>
        <v>456.09</v>
      </c>
      <c r="H185" s="264"/>
      <c r="I185" s="185"/>
      <c r="J185" s="185"/>
      <c r="K185" s="260">
        <v>25.06</v>
      </c>
    </row>
    <row r="186" spans="1:11" s="188" customFormat="1" ht="33.75" hidden="1" x14ac:dyDescent="0.2">
      <c r="A186" s="291"/>
      <c r="B186" s="271"/>
      <c r="C186" s="284" t="s">
        <v>609</v>
      </c>
      <c r="D186" s="282" t="s">
        <v>393</v>
      </c>
      <c r="E186" s="253">
        <v>1</v>
      </c>
      <c r="F186" s="258">
        <f t="shared" si="16"/>
        <v>92.442999999999998</v>
      </c>
      <c r="G186" s="258">
        <f t="shared" si="17"/>
        <v>92.44</v>
      </c>
      <c r="H186" s="264"/>
      <c r="I186" s="185"/>
      <c r="J186" s="185"/>
      <c r="K186" s="260">
        <v>71.11</v>
      </c>
    </row>
    <row r="187" spans="1:11" s="188" customFormat="1" ht="11.25" hidden="1" x14ac:dyDescent="0.2">
      <c r="A187" s="291"/>
      <c r="B187" s="271"/>
      <c r="C187" s="284" t="s">
        <v>610</v>
      </c>
      <c r="D187" s="282" t="s">
        <v>393</v>
      </c>
      <c r="E187" s="253">
        <v>1</v>
      </c>
      <c r="F187" s="258">
        <f t="shared" si="16"/>
        <v>3258.3980000000001</v>
      </c>
      <c r="G187" s="258">
        <f t="shared" si="17"/>
        <v>3258.4</v>
      </c>
      <c r="H187" s="264"/>
      <c r="I187" s="185"/>
      <c r="J187" s="185"/>
      <c r="K187" s="260">
        <v>2506.46</v>
      </c>
    </row>
    <row r="188" spans="1:11" s="188" customFormat="1" ht="11.25" hidden="1" x14ac:dyDescent="0.2">
      <c r="A188" s="291"/>
      <c r="B188" s="271"/>
      <c r="C188" s="284"/>
      <c r="D188" s="282"/>
      <c r="E188" s="253"/>
      <c r="F188" s="258"/>
      <c r="G188" s="258"/>
      <c r="H188" s="264"/>
      <c r="I188" s="185"/>
      <c r="J188" s="185"/>
      <c r="K188" s="260"/>
    </row>
    <row r="189" spans="1:11" s="188" customFormat="1" ht="11.25" hidden="1" customHeight="1" x14ac:dyDescent="0.2">
      <c r="A189" s="249" t="s">
        <v>611</v>
      </c>
      <c r="B189" s="1314" t="s">
        <v>612</v>
      </c>
      <c r="C189" s="1315"/>
      <c r="D189" s="267"/>
      <c r="E189" s="285"/>
      <c r="F189" s="268"/>
      <c r="G189" s="268"/>
      <c r="H189" s="269">
        <f>SUM(G189:G193)</f>
        <v>378.77</v>
      </c>
      <c r="I189" s="185"/>
      <c r="J189" s="185"/>
      <c r="K189" s="260"/>
    </row>
    <row r="190" spans="1:11" s="188" customFormat="1" ht="11.25" hidden="1" x14ac:dyDescent="0.2">
      <c r="A190" s="283"/>
      <c r="B190" s="1313" t="s">
        <v>613</v>
      </c>
      <c r="C190" s="1313"/>
      <c r="D190" s="275"/>
      <c r="E190" s="253"/>
      <c r="F190" s="258"/>
      <c r="G190" s="258"/>
      <c r="H190" s="264"/>
      <c r="I190" s="185"/>
      <c r="J190" s="185"/>
      <c r="K190" s="260"/>
    </row>
    <row r="191" spans="1:11" s="188" customFormat="1" ht="11.25" hidden="1" x14ac:dyDescent="0.2">
      <c r="A191" s="283"/>
      <c r="B191" s="271"/>
      <c r="C191" s="284" t="s">
        <v>614</v>
      </c>
      <c r="D191" s="282" t="s">
        <v>321</v>
      </c>
      <c r="E191" s="253">
        <v>20</v>
      </c>
      <c r="F191" s="258">
        <f>IF(E191&gt;0,K191*$K$9+K191,0)</f>
        <v>10.4</v>
      </c>
      <c r="G191" s="258">
        <f>ROUND(E191*F191,2)</f>
        <v>208</v>
      </c>
      <c r="H191" s="264"/>
      <c r="I191" s="185"/>
      <c r="J191" s="185"/>
      <c r="K191" s="260">
        <v>8</v>
      </c>
    </row>
    <row r="192" spans="1:11" s="188" customFormat="1" ht="11.25" hidden="1" x14ac:dyDescent="0.2">
      <c r="A192" s="283"/>
      <c r="B192" s="271"/>
      <c r="C192" s="284" t="s">
        <v>615</v>
      </c>
      <c r="D192" s="282" t="s">
        <v>393</v>
      </c>
      <c r="E192" s="253">
        <v>16</v>
      </c>
      <c r="F192" s="258">
        <f>IF(E192&gt;0,K192*$K$9+K192,0)</f>
        <v>10.673000000000002</v>
      </c>
      <c r="G192" s="258">
        <f>ROUND(E192*F192,2)</f>
        <v>170.77</v>
      </c>
      <c r="H192" s="264"/>
      <c r="I192" s="185"/>
      <c r="J192" s="185"/>
      <c r="K192" s="260">
        <v>8.2100000000000009</v>
      </c>
    </row>
    <row r="193" spans="1:17" s="188" customFormat="1" ht="11.25" hidden="1" x14ac:dyDescent="0.2">
      <c r="A193" s="283"/>
      <c r="B193" s="271"/>
      <c r="C193" s="284"/>
      <c r="D193" s="282"/>
      <c r="E193" s="253"/>
      <c r="F193" s="258"/>
      <c r="G193" s="258"/>
      <c r="H193" s="264"/>
      <c r="I193" s="185"/>
      <c r="J193" s="185"/>
      <c r="K193" s="260"/>
    </row>
    <row r="194" spans="1:17" s="188" customFormat="1" ht="11.25" hidden="1" customHeight="1" x14ac:dyDescent="0.2">
      <c r="A194" s="249" t="s">
        <v>616</v>
      </c>
      <c r="B194" s="1314" t="s">
        <v>617</v>
      </c>
      <c r="C194" s="1315"/>
      <c r="D194" s="267"/>
      <c r="E194" s="285"/>
      <c r="F194" s="268"/>
      <c r="G194" s="268"/>
      <c r="H194" s="269">
        <f>SUM(G194:G198)</f>
        <v>10479.86</v>
      </c>
      <c r="I194" s="185"/>
      <c r="J194" s="185"/>
      <c r="K194" s="260"/>
    </row>
    <row r="195" spans="1:17" s="188" customFormat="1" ht="11.25" hidden="1" x14ac:dyDescent="0.2">
      <c r="A195" s="283"/>
      <c r="B195" s="271"/>
      <c r="C195" s="284" t="s">
        <v>618</v>
      </c>
      <c r="D195" s="282" t="s">
        <v>321</v>
      </c>
      <c r="E195" s="253">
        <v>962.8</v>
      </c>
      <c r="F195" s="258">
        <f>IF(E195&gt;0,K195*$K$9+K195,0)</f>
        <v>4.4719999999999995</v>
      </c>
      <c r="G195" s="258">
        <f>ROUND(E195*F195,2)</f>
        <v>4305.6400000000003</v>
      </c>
      <c r="H195" s="264"/>
      <c r="I195" s="185"/>
      <c r="J195" s="185"/>
      <c r="K195" s="260">
        <v>3.44</v>
      </c>
    </row>
    <row r="196" spans="1:17" s="188" customFormat="1" ht="12.75" hidden="1" customHeight="1" x14ac:dyDescent="0.2">
      <c r="A196" s="283"/>
      <c r="B196" s="1316" t="s">
        <v>619</v>
      </c>
      <c r="C196" s="1317"/>
      <c r="D196" s="282"/>
      <c r="E196" s="253"/>
      <c r="F196" s="258"/>
      <c r="G196" s="258"/>
      <c r="H196" s="264"/>
      <c r="I196" s="185"/>
      <c r="J196" s="185"/>
      <c r="K196" s="260"/>
    </row>
    <row r="197" spans="1:17" s="188" customFormat="1" ht="11.25" hidden="1" x14ac:dyDescent="0.2">
      <c r="A197" s="283"/>
      <c r="B197" s="296"/>
      <c r="C197" s="297" t="s">
        <v>620</v>
      </c>
      <c r="D197" s="298" t="s">
        <v>321</v>
      </c>
      <c r="E197" s="299">
        <v>626.57000000000005</v>
      </c>
      <c r="F197" s="300">
        <f>IF(E197&gt;0,K197*$K$9+K197,0)</f>
        <v>9.8539999999999992</v>
      </c>
      <c r="G197" s="300">
        <f>ROUND(E197*F197,2)</f>
        <v>6174.22</v>
      </c>
      <c r="H197" s="301"/>
      <c r="I197" s="185"/>
      <c r="J197" s="185"/>
      <c r="K197" s="260">
        <v>7.58</v>
      </c>
    </row>
    <row r="198" spans="1:17" s="188" customFormat="1" hidden="1" x14ac:dyDescent="0.2">
      <c r="A198" s="302"/>
      <c r="B198" s="303"/>
      <c r="C198" s="304"/>
      <c r="D198" s="305"/>
      <c r="E198" s="299"/>
      <c r="F198" s="306"/>
      <c r="G198" s="306"/>
      <c r="H198" s="307"/>
      <c r="I198" s="185"/>
      <c r="J198" s="185"/>
      <c r="K198" s="177"/>
    </row>
    <row r="199" spans="1:17" s="188" customFormat="1" ht="11.25" x14ac:dyDescent="0.2">
      <c r="A199" s="308"/>
      <c r="B199" s="1311" t="s">
        <v>428</v>
      </c>
      <c r="C199" s="1311"/>
      <c r="D199" s="309"/>
      <c r="E199" s="310"/>
      <c r="F199" s="311"/>
      <c r="G199" s="311"/>
      <c r="H199" s="312" t="e">
        <f>SUM(H10:H198)</f>
        <v>#REF!</v>
      </c>
      <c r="I199" s="185"/>
      <c r="J199" s="185"/>
      <c r="K199" s="177"/>
      <c r="M199" s="202"/>
      <c r="N199" s="202"/>
      <c r="O199" s="202"/>
      <c r="P199" s="202"/>
      <c r="Q199" s="202"/>
    </row>
  </sheetData>
  <mergeCells count="31">
    <mergeCell ref="A2:I2"/>
    <mergeCell ref="A4:I4"/>
    <mergeCell ref="A7:I7"/>
    <mergeCell ref="B10:C10"/>
    <mergeCell ref="B19:C19"/>
    <mergeCell ref="B24:C24"/>
    <mergeCell ref="B53:C53"/>
    <mergeCell ref="B54:C54"/>
    <mergeCell ref="C56:D56"/>
    <mergeCell ref="C74:D74"/>
    <mergeCell ref="B77:C77"/>
    <mergeCell ref="B152:C152"/>
    <mergeCell ref="B156:C156"/>
    <mergeCell ref="B160:C160"/>
    <mergeCell ref="B167:C167"/>
    <mergeCell ref="B84:C84"/>
    <mergeCell ref="B85:D85"/>
    <mergeCell ref="B88:D88"/>
    <mergeCell ref="B100:C100"/>
    <mergeCell ref="B118:C118"/>
    <mergeCell ref="B134:C134"/>
    <mergeCell ref="B199:C199"/>
    <mergeCell ref="A3:G3"/>
    <mergeCell ref="B168:C168"/>
    <mergeCell ref="B171:C171"/>
    <mergeCell ref="B189:C189"/>
    <mergeCell ref="B190:C190"/>
    <mergeCell ref="B194:C194"/>
    <mergeCell ref="B196:C196"/>
    <mergeCell ref="B144:C144"/>
    <mergeCell ref="B145:C145"/>
  </mergeCells>
  <pageMargins left="0.78740157480314965" right="0.78740157480314965" top="0.78740157480314965" bottom="0.39370078740157483" header="0.51181102362204722" footer="0.11811023622047245"/>
  <pageSetup paperSize="9" orientation="landscape" r:id="rId1"/>
  <headerFooter alignWithMargins="0">
    <oddFooter>&amp;R&amp;7DATA BASE - REGIÃO: Belém/PA (MÊS: Junho/09)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115" zoomScaleNormal="115" workbookViewId="0">
      <pane ySplit="1" topLeftCell="A14" activePane="bottomLeft" state="frozen"/>
      <selection activeCell="C2" sqref="C2"/>
      <selection pane="bottomLeft" activeCell="B2" sqref="B2:C2"/>
    </sheetView>
  </sheetViews>
  <sheetFormatPr defaultColWidth="9.42578125" defaultRowHeight="12.75" x14ac:dyDescent="0.2"/>
  <cols>
    <col min="1" max="1" width="5.5703125" style="174" customWidth="1"/>
    <col min="2" max="2" width="2.42578125" style="175" customWidth="1"/>
    <col min="3" max="3" width="56.42578125" style="176" customWidth="1"/>
    <col min="4" max="4" width="6.5703125" style="177" customWidth="1"/>
    <col min="5" max="5" width="6.5703125" style="178" customWidth="1"/>
    <col min="6" max="7" width="11.42578125" style="178" customWidth="1"/>
    <col min="8" max="8" width="0" style="179" hidden="1" customWidth="1"/>
    <col min="9" max="9" width="3.5703125" style="178" customWidth="1"/>
    <col min="10" max="10" width="0" style="178" hidden="1" customWidth="1"/>
    <col min="11" max="17" width="0" style="177" hidden="1" customWidth="1"/>
    <col min="18" max="16384" width="9.42578125" style="177"/>
  </cols>
  <sheetData>
    <row r="1" spans="1:22" s="188" customFormat="1" ht="11.25" x14ac:dyDescent="0.2">
      <c r="A1" s="180" t="s">
        <v>379</v>
      </c>
      <c r="B1" s="181"/>
      <c r="C1" s="182" t="s">
        <v>380</v>
      </c>
      <c r="D1" s="180" t="s">
        <v>381</v>
      </c>
      <c r="E1" s="183" t="s">
        <v>143</v>
      </c>
      <c r="F1" s="184" t="s">
        <v>382</v>
      </c>
      <c r="G1" s="184" t="s">
        <v>383</v>
      </c>
      <c r="H1" s="184" t="s">
        <v>384</v>
      </c>
      <c r="I1" s="185"/>
      <c r="J1" s="186"/>
      <c r="K1" s="187" t="e">
        <v>#REF!</v>
      </c>
      <c r="M1" s="189" t="s">
        <v>385</v>
      </c>
      <c r="N1" s="189" t="s">
        <v>386</v>
      </c>
      <c r="O1" s="189" t="s">
        <v>387</v>
      </c>
      <c r="P1" s="189" t="s">
        <v>388</v>
      </c>
      <c r="Q1" s="189" t="s">
        <v>389</v>
      </c>
      <c r="S1" s="188" t="s">
        <v>390</v>
      </c>
    </row>
    <row r="2" spans="1:22" s="189" customFormat="1" ht="11.25" customHeight="1" x14ac:dyDescent="0.2">
      <c r="A2" s="190"/>
      <c r="B2" s="1326" t="s">
        <v>391</v>
      </c>
      <c r="C2" s="1326"/>
      <c r="D2" s="191"/>
      <c r="E2" s="192"/>
      <c r="F2" s="192"/>
      <c r="G2" s="193" t="e">
        <f>SUM(G3:G37)</f>
        <v>#REF!</v>
      </c>
      <c r="H2" s="194" t="e">
        <f>SUM(G2:G38)</f>
        <v>#REF!</v>
      </c>
      <c r="I2" s="195"/>
      <c r="K2" s="196"/>
    </row>
    <row r="3" spans="1:22" s="201" customFormat="1" ht="11.25" x14ac:dyDescent="0.2">
      <c r="A3" s="197"/>
      <c r="B3" s="198">
        <v>1</v>
      </c>
      <c r="C3" s="199" t="s">
        <v>392</v>
      </c>
      <c r="D3" s="200" t="s">
        <v>393</v>
      </c>
      <c r="E3" s="196" t="e">
        <f>#REF!</f>
        <v>#REF!</v>
      </c>
      <c r="F3" s="192"/>
      <c r="G3" s="192" t="e">
        <f>ROUND(E3*F3,2)</f>
        <v>#REF!</v>
      </c>
      <c r="H3" s="194"/>
      <c r="I3" s="195"/>
      <c r="J3" s="189"/>
      <c r="K3" s="200">
        <v>1540.41</v>
      </c>
      <c r="L3" s="189"/>
      <c r="M3" s="196"/>
      <c r="N3" s="196"/>
      <c r="O3" s="196"/>
      <c r="P3" s="196"/>
      <c r="Q3" s="196"/>
      <c r="R3" s="189"/>
      <c r="S3" s="189"/>
      <c r="T3" s="189"/>
      <c r="U3" s="189"/>
      <c r="V3" s="189"/>
    </row>
    <row r="4" spans="1:22" s="201" customFormat="1" ht="22.5" x14ac:dyDescent="0.2">
      <c r="A4" s="197"/>
      <c r="B4" s="198">
        <v>2</v>
      </c>
      <c r="C4" s="199" t="s">
        <v>394</v>
      </c>
      <c r="D4" s="200" t="s">
        <v>393</v>
      </c>
      <c r="E4" s="196" t="e">
        <f>E3</f>
        <v>#REF!</v>
      </c>
      <c r="F4" s="192"/>
      <c r="G4" s="192" t="e">
        <f>ROUND(E4*F4,2)</f>
        <v>#REF!</v>
      </c>
      <c r="H4" s="194"/>
      <c r="I4" s="195"/>
      <c r="J4" s="189"/>
      <c r="K4" s="200">
        <v>1540.41</v>
      </c>
      <c r="L4" s="189"/>
      <c r="M4" s="196"/>
      <c r="N4" s="196"/>
      <c r="O4" s="196"/>
      <c r="P4" s="196"/>
      <c r="Q4" s="196"/>
      <c r="R4" s="189"/>
      <c r="S4" s="189"/>
      <c r="T4" s="189"/>
      <c r="U4" s="189"/>
      <c r="V4" s="189"/>
    </row>
    <row r="5" spans="1:22" s="201" customFormat="1" ht="33.75" x14ac:dyDescent="0.2">
      <c r="A5" s="197"/>
      <c r="B5" s="198">
        <v>3</v>
      </c>
      <c r="C5" s="199" t="s">
        <v>395</v>
      </c>
      <c r="D5" s="200" t="s">
        <v>393</v>
      </c>
      <c r="E5" s="196"/>
      <c r="F5" s="192"/>
      <c r="G5" s="192">
        <f t="shared" ref="G5:G37" si="0">ROUND(E5*F5,2)</f>
        <v>0</v>
      </c>
      <c r="H5" s="194"/>
      <c r="I5" s="195"/>
      <c r="J5" s="189"/>
      <c r="K5" s="200"/>
      <c r="L5" s="189"/>
      <c r="M5" s="196"/>
      <c r="N5" s="196"/>
      <c r="O5" s="196"/>
      <c r="P5" s="196"/>
      <c r="Q5" s="196"/>
      <c r="R5" s="189"/>
      <c r="S5" s="189"/>
      <c r="T5" s="189"/>
      <c r="U5" s="189"/>
      <c r="V5" s="189"/>
    </row>
    <row r="6" spans="1:22" s="201" customFormat="1" ht="33.75" x14ac:dyDescent="0.2">
      <c r="A6" s="197"/>
      <c r="B6" s="198">
        <v>4</v>
      </c>
      <c r="C6" s="199" t="s">
        <v>396</v>
      </c>
      <c r="D6" s="200" t="s">
        <v>393</v>
      </c>
      <c r="E6" s="196" t="e">
        <f>E4*2</f>
        <v>#REF!</v>
      </c>
      <c r="F6" s="192"/>
      <c r="G6" s="192" t="e">
        <f t="shared" si="0"/>
        <v>#REF!</v>
      </c>
      <c r="H6" s="194"/>
      <c r="I6" s="195"/>
      <c r="J6" s="189"/>
      <c r="K6" s="200"/>
      <c r="L6" s="189"/>
      <c r="M6" s="196"/>
      <c r="N6" s="196"/>
      <c r="O6" s="196"/>
      <c r="P6" s="196"/>
      <c r="Q6" s="196"/>
      <c r="R6" s="189"/>
      <c r="S6" s="189"/>
      <c r="T6" s="189"/>
      <c r="U6" s="189"/>
      <c r="V6" s="189"/>
    </row>
    <row r="7" spans="1:22" s="201" customFormat="1" ht="11.25" x14ac:dyDescent="0.2">
      <c r="A7" s="197"/>
      <c r="B7" s="198">
        <v>5</v>
      </c>
      <c r="C7" s="199" t="s">
        <v>397</v>
      </c>
      <c r="D7" s="200" t="s">
        <v>393</v>
      </c>
      <c r="E7" s="196" t="e">
        <f>E4</f>
        <v>#REF!</v>
      </c>
      <c r="F7" s="192"/>
      <c r="G7" s="192" t="e">
        <f>ROUND(E7*F7,2)</f>
        <v>#REF!</v>
      </c>
      <c r="H7" s="194"/>
      <c r="I7" s="195"/>
      <c r="J7" s="189"/>
      <c r="K7" s="200"/>
      <c r="L7" s="189"/>
      <c r="M7" s="196"/>
      <c r="N7" s="196"/>
      <c r="O7" s="196"/>
      <c r="P7" s="196"/>
      <c r="Q7" s="196"/>
      <c r="R7" s="189"/>
      <c r="S7" s="189"/>
      <c r="T7" s="189"/>
      <c r="U7" s="189"/>
      <c r="V7" s="189"/>
    </row>
    <row r="8" spans="1:22" s="201" customFormat="1" ht="11.25" x14ac:dyDescent="0.2">
      <c r="A8" s="197"/>
      <c r="B8" s="198">
        <v>6</v>
      </c>
      <c r="C8" s="176" t="s">
        <v>398</v>
      </c>
      <c r="D8" s="200" t="s">
        <v>393</v>
      </c>
      <c r="E8" s="196" t="e">
        <f>E4</f>
        <v>#REF!</v>
      </c>
      <c r="F8" s="192"/>
      <c r="G8" s="192" t="e">
        <f>ROUND(E8*F8,2)</f>
        <v>#REF!</v>
      </c>
      <c r="H8" s="194"/>
      <c r="I8" s="195"/>
      <c r="J8" s="189"/>
      <c r="K8" s="200"/>
      <c r="L8" s="189"/>
      <c r="M8" s="196"/>
      <c r="N8" s="196"/>
      <c r="O8" s="196"/>
      <c r="P8" s="196"/>
      <c r="Q8" s="196"/>
      <c r="R8" s="189"/>
      <c r="S8" s="189"/>
      <c r="T8" s="189"/>
      <c r="U8" s="189"/>
      <c r="V8" s="189"/>
    </row>
    <row r="9" spans="1:22" s="202" customFormat="1" ht="45" x14ac:dyDescent="0.2">
      <c r="A9" s="197"/>
      <c r="B9" s="198">
        <v>7</v>
      </c>
      <c r="C9" s="199" t="s">
        <v>399</v>
      </c>
      <c r="D9" s="200" t="s">
        <v>393</v>
      </c>
      <c r="E9" s="196">
        <v>1</v>
      </c>
      <c r="F9" s="192"/>
      <c r="G9" s="192">
        <f t="shared" si="0"/>
        <v>0</v>
      </c>
      <c r="H9" s="194"/>
      <c r="I9" s="185"/>
      <c r="J9" s="188"/>
      <c r="K9" s="200">
        <v>424.55</v>
      </c>
      <c r="L9" s="188"/>
      <c r="M9" s="196"/>
      <c r="N9" s="196"/>
      <c r="O9" s="196"/>
      <c r="P9" s="196"/>
      <c r="Q9" s="196"/>
      <c r="R9" s="188"/>
      <c r="S9" s="188"/>
      <c r="T9" s="188"/>
      <c r="U9" s="188"/>
      <c r="V9" s="188"/>
    </row>
    <row r="10" spans="1:22" s="188" customFormat="1" ht="22.5" x14ac:dyDescent="0.2">
      <c r="A10" s="197"/>
      <c r="B10" s="198">
        <v>8</v>
      </c>
      <c r="C10" s="199" t="s">
        <v>400</v>
      </c>
      <c r="D10" s="200" t="s">
        <v>203</v>
      </c>
      <c r="E10" s="196"/>
      <c r="F10" s="192"/>
      <c r="G10" s="192">
        <f t="shared" si="0"/>
        <v>0</v>
      </c>
      <c r="H10" s="194"/>
      <c r="I10" s="185"/>
      <c r="K10" s="200">
        <v>112.5</v>
      </c>
      <c r="M10" s="196"/>
      <c r="N10" s="196"/>
      <c r="O10" s="196"/>
      <c r="P10" s="196"/>
      <c r="Q10" s="196"/>
      <c r="R10" s="188" t="s">
        <v>401</v>
      </c>
    </row>
    <row r="11" spans="1:22" s="202" customFormat="1" ht="22.5" x14ac:dyDescent="0.2">
      <c r="A11" s="197"/>
      <c r="B11" s="198">
        <v>9</v>
      </c>
      <c r="C11" s="199" t="s">
        <v>402</v>
      </c>
      <c r="D11" s="200" t="s">
        <v>203</v>
      </c>
      <c r="E11" s="196"/>
      <c r="F11" s="192"/>
      <c r="G11" s="192">
        <f t="shared" si="0"/>
        <v>0</v>
      </c>
      <c r="H11" s="194"/>
      <c r="I11" s="185"/>
      <c r="J11" s="188"/>
      <c r="K11" s="200">
        <v>112.5</v>
      </c>
      <c r="L11" s="188"/>
      <c r="M11" s="196"/>
      <c r="N11" s="196"/>
      <c r="O11" s="196"/>
      <c r="P11" s="196"/>
      <c r="Q11" s="196"/>
      <c r="R11" s="188"/>
      <c r="S11" s="188"/>
      <c r="T11" s="188"/>
      <c r="U11" s="188"/>
      <c r="V11" s="188"/>
    </row>
    <row r="12" spans="1:22" s="202" customFormat="1" ht="33.75" x14ac:dyDescent="0.2">
      <c r="A12" s="197"/>
      <c r="B12" s="198">
        <v>9</v>
      </c>
      <c r="C12" s="199" t="s">
        <v>403</v>
      </c>
      <c r="D12" s="200" t="s">
        <v>203</v>
      </c>
      <c r="E12" s="196"/>
      <c r="F12" s="192"/>
      <c r="G12" s="192">
        <f t="shared" si="0"/>
        <v>0</v>
      </c>
      <c r="H12" s="194"/>
      <c r="I12" s="185"/>
      <c r="J12" s="188"/>
      <c r="K12" s="200">
        <v>112.5</v>
      </c>
      <c r="L12" s="188"/>
      <c r="M12" s="196"/>
      <c r="N12" s="196"/>
      <c r="O12" s="196"/>
      <c r="P12" s="196"/>
      <c r="Q12" s="196"/>
      <c r="R12" s="188"/>
      <c r="S12" s="188"/>
      <c r="T12" s="188"/>
      <c r="U12" s="188"/>
      <c r="V12" s="188"/>
    </row>
    <row r="13" spans="1:22" s="202" customFormat="1" ht="22.5" x14ac:dyDescent="0.2">
      <c r="A13" s="197" t="s">
        <v>404</v>
      </c>
      <c r="B13" s="198">
        <v>10</v>
      </c>
      <c r="C13" s="199" t="s">
        <v>405</v>
      </c>
      <c r="D13" s="200" t="s">
        <v>203</v>
      </c>
      <c r="E13" s="196"/>
      <c r="F13" s="192"/>
      <c r="G13" s="192">
        <f t="shared" si="0"/>
        <v>0</v>
      </c>
      <c r="H13" s="194"/>
      <c r="I13" s="185"/>
      <c r="J13" s="188"/>
      <c r="K13" s="200">
        <v>124.1</v>
      </c>
      <c r="L13" s="188"/>
      <c r="M13" s="196"/>
      <c r="N13" s="196"/>
      <c r="O13" s="196">
        <f>7+37+2</f>
        <v>46</v>
      </c>
      <c r="P13" s="196"/>
      <c r="Q13" s="196"/>
      <c r="R13" s="188"/>
      <c r="S13" s="188"/>
      <c r="T13" s="188"/>
      <c r="U13" s="188"/>
      <c r="V13" s="188"/>
    </row>
    <row r="14" spans="1:22" s="202" customFormat="1" ht="11.25" x14ac:dyDescent="0.2">
      <c r="A14" s="197"/>
      <c r="B14" s="198">
        <v>11</v>
      </c>
      <c r="C14" s="199" t="s">
        <v>406</v>
      </c>
      <c r="D14" s="200" t="s">
        <v>393</v>
      </c>
      <c r="E14" s="196">
        <v>5</v>
      </c>
      <c r="F14" s="192"/>
      <c r="G14" s="192">
        <f t="shared" si="0"/>
        <v>0</v>
      </c>
      <c r="H14" s="194"/>
      <c r="I14" s="185"/>
      <c r="J14" s="188"/>
      <c r="K14" s="200">
        <f>196.2+80</f>
        <v>276.2</v>
      </c>
      <c r="L14" s="188"/>
      <c r="M14" s="196"/>
      <c r="N14" s="196"/>
      <c r="O14" s="196">
        <v>2</v>
      </c>
      <c r="P14" s="196"/>
      <c r="Q14" s="196"/>
      <c r="R14" s="188"/>
      <c r="S14" s="188"/>
      <c r="T14" s="188"/>
      <c r="U14" s="188"/>
      <c r="V14" s="188"/>
    </row>
    <row r="15" spans="1:22" s="188" customFormat="1" ht="11.25" x14ac:dyDescent="0.2">
      <c r="A15" s="197"/>
      <c r="B15" s="198">
        <v>12</v>
      </c>
      <c r="C15" s="199" t="s">
        <v>407</v>
      </c>
      <c r="D15" s="200" t="s">
        <v>393</v>
      </c>
      <c r="E15" s="196">
        <v>0</v>
      </c>
      <c r="F15" s="192"/>
      <c r="G15" s="192">
        <f t="shared" si="0"/>
        <v>0</v>
      </c>
      <c r="H15" s="194"/>
      <c r="I15" s="185"/>
      <c r="K15" s="200">
        <f>264+80</f>
        <v>344</v>
      </c>
      <c r="M15" s="196"/>
      <c r="N15" s="196"/>
      <c r="O15" s="196">
        <v>3</v>
      </c>
      <c r="P15" s="196"/>
      <c r="Q15" s="196"/>
      <c r="R15" s="188" t="s">
        <v>401</v>
      </c>
    </row>
    <row r="16" spans="1:22" s="203" customFormat="1" ht="33.75" x14ac:dyDescent="0.2">
      <c r="A16" s="197"/>
      <c r="B16" s="198">
        <v>13</v>
      </c>
      <c r="C16" s="199" t="s">
        <v>408</v>
      </c>
      <c r="D16" s="200" t="s">
        <v>393</v>
      </c>
      <c r="E16" s="196" t="e">
        <f>#REF!</f>
        <v>#REF!</v>
      </c>
      <c r="F16" s="192"/>
      <c r="G16" s="192" t="e">
        <f t="shared" si="0"/>
        <v>#REF!</v>
      </c>
      <c r="H16" s="194"/>
      <c r="I16" s="185"/>
      <c r="J16" s="188"/>
      <c r="K16" s="200">
        <v>43.31</v>
      </c>
      <c r="L16" s="188"/>
      <c r="M16" s="196"/>
      <c r="N16" s="196"/>
      <c r="O16" s="196">
        <v>1</v>
      </c>
      <c r="P16" s="196">
        <v>1</v>
      </c>
      <c r="Q16" s="196">
        <v>1</v>
      </c>
      <c r="R16" s="188"/>
      <c r="S16" s="188"/>
      <c r="T16" s="188"/>
      <c r="U16" s="188"/>
      <c r="V16" s="188"/>
    </row>
    <row r="17" spans="1:22" s="203" customFormat="1" ht="45" x14ac:dyDescent="0.2">
      <c r="A17" s="197"/>
      <c r="B17" s="198">
        <v>14</v>
      </c>
      <c r="C17" s="199" t="s">
        <v>409</v>
      </c>
      <c r="D17" s="200" t="s">
        <v>393</v>
      </c>
      <c r="E17" s="196">
        <v>9</v>
      </c>
      <c r="F17" s="192"/>
      <c r="G17" s="192">
        <f t="shared" si="0"/>
        <v>0</v>
      </c>
      <c r="H17" s="194"/>
      <c r="I17" s="185"/>
      <c r="J17" s="188"/>
      <c r="K17" s="200">
        <v>43.31</v>
      </c>
      <c r="L17" s="188"/>
      <c r="M17" s="196"/>
      <c r="N17" s="196"/>
      <c r="O17" s="196">
        <v>1</v>
      </c>
      <c r="P17" s="196">
        <v>1</v>
      </c>
      <c r="Q17" s="196">
        <v>1</v>
      </c>
      <c r="R17" s="188"/>
      <c r="S17" s="188"/>
      <c r="T17" s="188"/>
      <c r="U17" s="188"/>
      <c r="V17" s="188"/>
    </row>
    <row r="18" spans="1:22" s="203" customFormat="1" ht="11.25" x14ac:dyDescent="0.2">
      <c r="A18" s="197"/>
      <c r="B18" s="198">
        <v>15</v>
      </c>
      <c r="C18" s="199" t="s">
        <v>410</v>
      </c>
      <c r="D18" s="200" t="s">
        <v>393</v>
      </c>
      <c r="E18" s="196">
        <v>0</v>
      </c>
      <c r="F18" s="192"/>
      <c r="G18" s="192">
        <f t="shared" si="0"/>
        <v>0</v>
      </c>
      <c r="H18" s="194"/>
      <c r="I18" s="185"/>
      <c r="J18" s="188"/>
      <c r="K18" s="200">
        <v>126.63</v>
      </c>
      <c r="L18" s="188"/>
      <c r="M18" s="196"/>
      <c r="N18" s="196"/>
      <c r="O18" s="196"/>
      <c r="P18" s="196"/>
      <c r="Q18" s="196"/>
      <c r="R18" s="188"/>
      <c r="S18" s="188"/>
      <c r="T18" s="188"/>
      <c r="U18" s="188"/>
      <c r="V18" s="188"/>
    </row>
    <row r="19" spans="1:22" s="203" customFormat="1" ht="11.25" x14ac:dyDescent="0.2">
      <c r="A19" s="197"/>
      <c r="B19" s="198">
        <v>16</v>
      </c>
      <c r="C19" s="199" t="s">
        <v>411</v>
      </c>
      <c r="D19" s="200" t="s">
        <v>393</v>
      </c>
      <c r="E19" s="196">
        <v>0</v>
      </c>
      <c r="F19" s="192"/>
      <c r="G19" s="192">
        <f t="shared" si="0"/>
        <v>0</v>
      </c>
      <c r="H19" s="194"/>
      <c r="I19" s="185"/>
      <c r="J19" s="188"/>
      <c r="K19" s="200">
        <v>370.44</v>
      </c>
      <c r="L19" s="188"/>
      <c r="M19" s="196"/>
      <c r="N19" s="196"/>
      <c r="O19" s="196"/>
      <c r="P19" s="196">
        <v>2</v>
      </c>
      <c r="Q19" s="196"/>
      <c r="R19" s="188"/>
      <c r="S19" s="188"/>
      <c r="T19" s="188"/>
      <c r="U19" s="188"/>
      <c r="V19" s="188"/>
    </row>
    <row r="20" spans="1:22" s="203" customFormat="1" ht="11.25" x14ac:dyDescent="0.2">
      <c r="A20" s="197"/>
      <c r="B20" s="198">
        <v>17</v>
      </c>
      <c r="C20" s="199" t="s">
        <v>412</v>
      </c>
      <c r="D20" s="200" t="s">
        <v>393</v>
      </c>
      <c r="E20" s="196" t="e">
        <f>#REF!</f>
        <v>#REF!</v>
      </c>
      <c r="F20" s="192"/>
      <c r="G20" s="192" t="e">
        <f t="shared" si="0"/>
        <v>#REF!</v>
      </c>
      <c r="H20" s="194"/>
      <c r="I20" s="185"/>
      <c r="J20" s="188"/>
      <c r="K20" s="200">
        <v>277.44</v>
      </c>
      <c r="L20" s="188"/>
      <c r="M20" s="196"/>
      <c r="N20" s="196"/>
      <c r="O20" s="196">
        <v>1</v>
      </c>
      <c r="P20" s="196"/>
      <c r="Q20" s="196">
        <v>1</v>
      </c>
      <c r="R20" s="188"/>
      <c r="S20" s="188"/>
      <c r="T20" s="188"/>
      <c r="U20" s="188"/>
      <c r="V20" s="188"/>
    </row>
    <row r="21" spans="1:22" s="203" customFormat="1" ht="11.25" x14ac:dyDescent="0.2">
      <c r="A21" s="197"/>
      <c r="B21" s="198">
        <v>18</v>
      </c>
      <c r="C21" s="199" t="s">
        <v>413</v>
      </c>
      <c r="D21" s="200" t="s">
        <v>393</v>
      </c>
      <c r="E21" s="196">
        <v>0</v>
      </c>
      <c r="F21" s="192"/>
      <c r="G21" s="192">
        <f t="shared" si="0"/>
        <v>0</v>
      </c>
      <c r="H21" s="194"/>
      <c r="I21" s="185"/>
      <c r="J21" s="188"/>
      <c r="K21" s="200"/>
      <c r="L21" s="188"/>
      <c r="M21" s="196"/>
      <c r="N21" s="196"/>
      <c r="O21" s="196"/>
      <c r="P21" s="196">
        <v>2</v>
      </c>
      <c r="Q21" s="196"/>
      <c r="R21" s="188"/>
      <c r="S21" s="188"/>
      <c r="T21" s="188"/>
      <c r="U21" s="188"/>
      <c r="V21" s="188"/>
    </row>
    <row r="22" spans="1:22" s="203" customFormat="1" ht="45" x14ac:dyDescent="0.2">
      <c r="A22" s="197"/>
      <c r="B22" s="198">
        <v>19</v>
      </c>
      <c r="C22" s="199" t="s">
        <v>414</v>
      </c>
      <c r="D22" s="200" t="s">
        <v>393</v>
      </c>
      <c r="E22" s="196">
        <v>0</v>
      </c>
      <c r="F22" s="192"/>
      <c r="G22" s="192">
        <f t="shared" si="0"/>
        <v>0</v>
      </c>
      <c r="H22" s="194"/>
      <c r="I22" s="185"/>
      <c r="J22" s="188"/>
      <c r="K22" s="200">
        <v>31.96</v>
      </c>
      <c r="L22" s="188"/>
      <c r="M22" s="196"/>
      <c r="N22" s="196"/>
      <c r="O22" s="196"/>
      <c r="P22" s="196"/>
      <c r="Q22" s="196"/>
      <c r="R22" s="188"/>
      <c r="S22" s="188"/>
      <c r="T22" s="188"/>
      <c r="U22" s="188"/>
      <c r="V22" s="188"/>
    </row>
    <row r="23" spans="1:22" s="203" customFormat="1" ht="45" x14ac:dyDescent="0.2">
      <c r="A23" s="197"/>
      <c r="B23" s="198">
        <v>20</v>
      </c>
      <c r="C23" s="199" t="s">
        <v>415</v>
      </c>
      <c r="D23" s="200" t="s">
        <v>393</v>
      </c>
      <c r="E23" s="196">
        <v>0</v>
      </c>
      <c r="F23" s="192"/>
      <c r="G23" s="192">
        <f t="shared" si="0"/>
        <v>0</v>
      </c>
      <c r="H23" s="194"/>
      <c r="I23" s="185"/>
      <c r="J23" s="188"/>
      <c r="K23" s="200">
        <v>42.53</v>
      </c>
      <c r="L23" s="188"/>
      <c r="M23" s="196"/>
      <c r="N23" s="196"/>
      <c r="O23" s="196"/>
      <c r="P23" s="196"/>
      <c r="Q23" s="196"/>
      <c r="R23" s="188"/>
      <c r="S23" s="188"/>
      <c r="T23" s="188"/>
      <c r="U23" s="188"/>
      <c r="V23" s="188"/>
    </row>
    <row r="24" spans="1:22" s="203" customFormat="1" ht="45" x14ac:dyDescent="0.2">
      <c r="A24" s="197"/>
      <c r="B24" s="198">
        <v>21</v>
      </c>
      <c r="C24" s="199" t="s">
        <v>416</v>
      </c>
      <c r="D24" s="200" t="s">
        <v>393</v>
      </c>
      <c r="E24" s="196">
        <v>0</v>
      </c>
      <c r="F24" s="192"/>
      <c r="G24" s="192">
        <f t="shared" si="0"/>
        <v>0</v>
      </c>
      <c r="H24" s="194"/>
      <c r="I24" s="185"/>
      <c r="J24" s="188"/>
      <c r="K24" s="200">
        <v>31.96</v>
      </c>
      <c r="L24" s="188"/>
      <c r="M24" s="196"/>
      <c r="N24" s="196"/>
      <c r="O24" s="196"/>
      <c r="P24" s="196"/>
      <c r="Q24" s="196"/>
      <c r="R24" s="188"/>
      <c r="S24" s="188"/>
      <c r="T24" s="188"/>
      <c r="U24" s="188"/>
      <c r="V24" s="188"/>
    </row>
    <row r="25" spans="1:22" s="203" customFormat="1" ht="45" x14ac:dyDescent="0.2">
      <c r="A25" s="197"/>
      <c r="B25" s="198">
        <v>22</v>
      </c>
      <c r="C25" s="199" t="s">
        <v>417</v>
      </c>
      <c r="D25" s="200" t="s">
        <v>393</v>
      </c>
      <c r="E25" s="196">
        <v>0</v>
      </c>
      <c r="F25" s="192"/>
      <c r="G25" s="192">
        <f t="shared" si="0"/>
        <v>0</v>
      </c>
      <c r="H25" s="194"/>
      <c r="I25" s="185"/>
      <c r="J25" s="188"/>
      <c r="K25" s="200">
        <v>27.94</v>
      </c>
      <c r="L25" s="188"/>
      <c r="M25" s="196"/>
      <c r="N25" s="196"/>
      <c r="O25" s="196"/>
      <c r="P25" s="196"/>
      <c r="Q25" s="196"/>
      <c r="R25" s="188"/>
      <c r="S25" s="188"/>
      <c r="T25" s="188"/>
      <c r="U25" s="188"/>
      <c r="V25" s="188"/>
    </row>
    <row r="26" spans="1:22" s="203" customFormat="1" ht="22.5" x14ac:dyDescent="0.2">
      <c r="A26" s="197"/>
      <c r="B26" s="198">
        <v>23</v>
      </c>
      <c r="C26" s="199" t="s">
        <v>418</v>
      </c>
      <c r="D26" s="200" t="s">
        <v>393</v>
      </c>
      <c r="E26" s="196" t="e">
        <f>#REF!</f>
        <v>#REF!</v>
      </c>
      <c r="F26" s="192"/>
      <c r="G26" s="192" t="e">
        <f t="shared" si="0"/>
        <v>#REF!</v>
      </c>
      <c r="H26" s="194"/>
      <c r="I26" s="185"/>
      <c r="J26" s="188"/>
      <c r="K26" s="200">
        <v>105.96</v>
      </c>
      <c r="L26" s="188"/>
      <c r="M26" s="196"/>
      <c r="N26" s="196">
        <v>25</v>
      </c>
      <c r="O26" s="196"/>
      <c r="P26" s="196"/>
      <c r="Q26" s="196"/>
      <c r="R26" s="188"/>
      <c r="S26" s="188"/>
      <c r="T26" s="188"/>
      <c r="U26" s="188"/>
      <c r="V26" s="188"/>
    </row>
    <row r="27" spans="1:22" s="188" customFormat="1" ht="22.5" x14ac:dyDescent="0.2">
      <c r="A27" s="197"/>
      <c r="B27" s="198">
        <v>24</v>
      </c>
      <c r="C27" s="199" t="s">
        <v>419</v>
      </c>
      <c r="D27" s="200" t="s">
        <v>393</v>
      </c>
      <c r="E27" s="196">
        <v>1</v>
      </c>
      <c r="F27" s="192"/>
      <c r="G27" s="192">
        <f t="shared" si="0"/>
        <v>0</v>
      </c>
      <c r="H27" s="194"/>
      <c r="I27" s="185"/>
      <c r="K27" s="200">
        <v>2291.8000000000002</v>
      </c>
      <c r="M27" s="196"/>
      <c r="N27" s="196"/>
      <c r="O27" s="196">
        <v>2</v>
      </c>
      <c r="P27" s="196"/>
      <c r="Q27" s="196"/>
    </row>
    <row r="28" spans="1:22" s="202" customFormat="1" ht="22.5" x14ac:dyDescent="0.2">
      <c r="A28" s="197"/>
      <c r="B28" s="198">
        <v>25</v>
      </c>
      <c r="C28" s="199" t="s">
        <v>420</v>
      </c>
      <c r="D28" s="200" t="s">
        <v>393</v>
      </c>
      <c r="E28" s="196">
        <v>1</v>
      </c>
      <c r="F28" s="192"/>
      <c r="G28" s="192">
        <f t="shared" si="0"/>
        <v>0</v>
      </c>
      <c r="H28" s="194"/>
      <c r="I28" s="185"/>
      <c r="J28" s="188"/>
      <c r="K28" s="200"/>
      <c r="L28" s="188"/>
      <c r="M28" s="196"/>
      <c r="N28" s="196"/>
      <c r="O28" s="196"/>
      <c r="P28" s="196"/>
      <c r="Q28" s="196"/>
      <c r="R28" s="188"/>
      <c r="S28" s="188"/>
      <c r="T28" s="188"/>
      <c r="U28" s="188"/>
      <c r="V28" s="188"/>
    </row>
    <row r="29" spans="1:22" s="188" customFormat="1" ht="22.5" x14ac:dyDescent="0.2">
      <c r="A29" s="197"/>
      <c r="B29" s="198">
        <v>26</v>
      </c>
      <c r="C29" s="199" t="s">
        <v>421</v>
      </c>
      <c r="D29" s="200" t="s">
        <v>393</v>
      </c>
      <c r="E29" s="196">
        <v>1</v>
      </c>
      <c r="F29" s="192"/>
      <c r="G29" s="192">
        <f t="shared" si="0"/>
        <v>0</v>
      </c>
      <c r="H29" s="194"/>
      <c r="I29" s="185"/>
      <c r="K29" s="200"/>
      <c r="M29" s="196"/>
      <c r="N29" s="196"/>
      <c r="O29" s="196"/>
      <c r="P29" s="196"/>
      <c r="Q29" s="196"/>
    </row>
    <row r="30" spans="1:22" s="188" customFormat="1" ht="22.5" x14ac:dyDescent="0.2">
      <c r="A30" s="197"/>
      <c r="B30" s="198">
        <v>27</v>
      </c>
      <c r="C30" s="199" t="s">
        <v>422</v>
      </c>
      <c r="D30" s="200" t="s">
        <v>393</v>
      </c>
      <c r="E30" s="196">
        <v>1</v>
      </c>
      <c r="F30" s="192"/>
      <c r="G30" s="192">
        <f t="shared" si="0"/>
        <v>0</v>
      </c>
      <c r="H30" s="194"/>
      <c r="I30" s="185"/>
      <c r="K30" s="200"/>
      <c r="M30" s="196"/>
      <c r="N30" s="196"/>
      <c r="O30" s="196"/>
      <c r="P30" s="196"/>
      <c r="Q30" s="196"/>
    </row>
    <row r="31" spans="1:22" s="202" customFormat="1" ht="22.5" x14ac:dyDescent="0.2">
      <c r="A31" s="197"/>
      <c r="B31" s="198">
        <v>28</v>
      </c>
      <c r="C31" s="199" t="s">
        <v>423</v>
      </c>
      <c r="D31" s="200" t="s">
        <v>393</v>
      </c>
      <c r="E31" s="196">
        <v>1</v>
      </c>
      <c r="F31" s="192"/>
      <c r="G31" s="192">
        <f t="shared" si="0"/>
        <v>0</v>
      </c>
      <c r="H31" s="194"/>
      <c r="I31" s="185"/>
      <c r="J31" s="188"/>
      <c r="K31" s="200">
        <v>370</v>
      </c>
      <c r="L31" s="188"/>
      <c r="M31" s="196"/>
      <c r="N31" s="196"/>
      <c r="O31" s="196">
        <v>1</v>
      </c>
      <c r="P31" s="196"/>
      <c r="Q31" s="196"/>
      <c r="R31" s="188"/>
      <c r="S31" s="188"/>
      <c r="T31" s="188"/>
      <c r="U31" s="188"/>
      <c r="V31" s="188"/>
    </row>
    <row r="32" spans="1:22" s="202" customFormat="1" ht="22.5" x14ac:dyDescent="0.2">
      <c r="A32" s="197"/>
      <c r="B32" s="198">
        <v>29</v>
      </c>
      <c r="C32" s="199" t="s">
        <v>424</v>
      </c>
      <c r="D32" s="200" t="s">
        <v>393</v>
      </c>
      <c r="E32" s="196">
        <v>1</v>
      </c>
      <c r="F32" s="192"/>
      <c r="G32" s="192">
        <f t="shared" si="0"/>
        <v>0</v>
      </c>
      <c r="H32" s="194"/>
      <c r="I32" s="185"/>
      <c r="J32" s="188"/>
      <c r="K32" s="200">
        <v>2420</v>
      </c>
      <c r="L32" s="188"/>
      <c r="M32" s="196"/>
      <c r="N32" s="196"/>
      <c r="O32" s="196">
        <v>1</v>
      </c>
      <c r="P32" s="196"/>
      <c r="Q32" s="196"/>
      <c r="R32" s="188"/>
      <c r="S32" s="188"/>
      <c r="T32" s="188"/>
      <c r="U32" s="188"/>
      <c r="V32" s="188"/>
    </row>
    <row r="33" spans="1:22" s="202" customFormat="1" ht="11.25" x14ac:dyDescent="0.2">
      <c r="A33" s="197"/>
      <c r="B33" s="198">
        <v>30</v>
      </c>
      <c r="C33" s="199" t="s">
        <v>425</v>
      </c>
      <c r="D33" s="200" t="s">
        <v>393</v>
      </c>
      <c r="E33" s="196">
        <v>1</v>
      </c>
      <c r="F33" s="192"/>
      <c r="G33" s="192">
        <f t="shared" si="0"/>
        <v>0</v>
      </c>
      <c r="H33" s="194"/>
      <c r="I33" s="185"/>
      <c r="J33" s="188"/>
      <c r="K33" s="200"/>
      <c r="L33" s="188"/>
      <c r="M33" s="196"/>
      <c r="N33" s="196"/>
      <c r="O33" s="196"/>
      <c r="P33" s="196"/>
      <c r="Q33" s="196"/>
      <c r="R33" s="188"/>
      <c r="S33" s="188"/>
      <c r="T33" s="188"/>
      <c r="U33" s="188"/>
      <c r="V33" s="188"/>
    </row>
    <row r="34" spans="1:22" s="188" customFormat="1" ht="11.25" x14ac:dyDescent="0.2">
      <c r="A34" s="197"/>
      <c r="B34" s="198">
        <v>31</v>
      </c>
      <c r="C34" s="199" t="s">
        <v>87</v>
      </c>
      <c r="D34" s="200" t="s">
        <v>393</v>
      </c>
      <c r="E34" s="196">
        <v>2</v>
      </c>
      <c r="F34" s="192"/>
      <c r="G34" s="192">
        <f t="shared" si="0"/>
        <v>0</v>
      </c>
      <c r="H34" s="194"/>
      <c r="I34" s="185"/>
      <c r="K34" s="200">
        <v>370</v>
      </c>
      <c r="M34" s="196"/>
      <c r="N34" s="196">
        <v>2</v>
      </c>
      <c r="O34" s="196"/>
      <c r="P34" s="196"/>
      <c r="Q34" s="196">
        <v>1</v>
      </c>
    </row>
    <row r="35" spans="1:22" s="188" customFormat="1" ht="11.25" x14ac:dyDescent="0.2">
      <c r="A35" s="197"/>
      <c r="B35" s="198">
        <v>32</v>
      </c>
      <c r="C35" s="199" t="s">
        <v>426</v>
      </c>
      <c r="D35" s="200" t="s">
        <v>393</v>
      </c>
      <c r="E35" s="196">
        <v>2</v>
      </c>
      <c r="F35" s="192"/>
      <c r="G35" s="192">
        <f t="shared" si="0"/>
        <v>0</v>
      </c>
      <c r="H35" s="194"/>
      <c r="I35" s="185"/>
      <c r="K35" s="200">
        <v>708</v>
      </c>
      <c r="M35" s="196"/>
      <c r="N35" s="196"/>
      <c r="O35" s="196">
        <v>2</v>
      </c>
      <c r="P35" s="196"/>
      <c r="Q35" s="196"/>
    </row>
    <row r="36" spans="1:22" s="202" customFormat="1" ht="11.25" x14ac:dyDescent="0.2">
      <c r="A36" s="197"/>
      <c r="B36" s="198">
        <v>33</v>
      </c>
      <c r="C36" s="199" t="s">
        <v>427</v>
      </c>
      <c r="D36" s="200" t="s">
        <v>393</v>
      </c>
      <c r="E36" s="196">
        <v>2</v>
      </c>
      <c r="F36" s="192"/>
      <c r="G36" s="192">
        <f t="shared" si="0"/>
        <v>0</v>
      </c>
      <c r="H36" s="194"/>
      <c r="I36" s="185"/>
      <c r="J36" s="188"/>
      <c r="K36" s="200">
        <v>213.9</v>
      </c>
      <c r="L36" s="188"/>
      <c r="M36" s="196"/>
      <c r="N36" s="196"/>
      <c r="O36" s="196">
        <v>3</v>
      </c>
      <c r="P36" s="196"/>
      <c r="Q36" s="196"/>
      <c r="R36" s="188"/>
      <c r="S36" s="188"/>
      <c r="T36" s="188"/>
      <c r="U36" s="188"/>
      <c r="V36" s="188"/>
    </row>
    <row r="37" spans="1:22" s="188" customFormat="1" ht="11.25" x14ac:dyDescent="0.2">
      <c r="A37" s="197"/>
      <c r="B37" s="198">
        <v>34</v>
      </c>
      <c r="C37" s="199" t="s">
        <v>437</v>
      </c>
      <c r="D37" s="200" t="s">
        <v>393</v>
      </c>
      <c r="E37" s="196">
        <v>7</v>
      </c>
      <c r="F37" s="192"/>
      <c r="G37" s="192">
        <f t="shared" si="0"/>
        <v>0</v>
      </c>
      <c r="H37" s="194"/>
      <c r="I37" s="185"/>
      <c r="K37" s="200">
        <v>80</v>
      </c>
      <c r="M37" s="196"/>
      <c r="N37" s="196">
        <v>25</v>
      </c>
      <c r="O37" s="196"/>
      <c r="P37" s="196"/>
      <c r="Q37" s="196"/>
    </row>
    <row r="38" spans="1:22" s="188" customFormat="1" ht="11.25" x14ac:dyDescent="0.2">
      <c r="A38" s="197"/>
      <c r="B38" s="198"/>
      <c r="C38" s="199"/>
      <c r="D38" s="200"/>
      <c r="E38" s="196"/>
      <c r="F38" s="192"/>
      <c r="G38" s="192"/>
      <c r="H38" s="204"/>
      <c r="I38" s="185"/>
      <c r="K38" s="200"/>
    </row>
    <row r="39" spans="1:22" s="188" customFormat="1" ht="12.75" customHeight="1" x14ac:dyDescent="0.2">
      <c r="A39" s="205"/>
      <c r="B39" s="1327" t="s">
        <v>428</v>
      </c>
      <c r="C39" s="1327"/>
      <c r="D39" s="206"/>
      <c r="E39" s="207"/>
      <c r="F39" s="208"/>
      <c r="G39" s="208"/>
      <c r="H39" s="209" t="e">
        <f>SUM(H2:H38)</f>
        <v>#REF!</v>
      </c>
      <c r="I39" s="185"/>
      <c r="J39" s="185"/>
      <c r="K39" s="177"/>
    </row>
    <row r="43" spans="1:22" x14ac:dyDescent="0.2">
      <c r="C43" s="176" t="s">
        <v>397</v>
      </c>
      <c r="S43" s="210" t="s">
        <v>429</v>
      </c>
    </row>
    <row r="44" spans="1:22" x14ac:dyDescent="0.2">
      <c r="C44" s="176" t="s">
        <v>398</v>
      </c>
      <c r="S44" s="210" t="s">
        <v>430</v>
      </c>
    </row>
    <row r="45" spans="1:22" ht="22.5" x14ac:dyDescent="0.2">
      <c r="C45" s="176" t="s">
        <v>431</v>
      </c>
      <c r="S45" s="210" t="s">
        <v>432</v>
      </c>
    </row>
    <row r="46" spans="1:22" x14ac:dyDescent="0.2">
      <c r="C46" s="211" t="s">
        <v>433</v>
      </c>
      <c r="S46" s="210" t="s">
        <v>434</v>
      </c>
    </row>
    <row r="47" spans="1:22" ht="22.5" x14ac:dyDescent="0.2">
      <c r="C47" s="176" t="s">
        <v>435</v>
      </c>
      <c r="S47" s="210" t="s">
        <v>436</v>
      </c>
    </row>
  </sheetData>
  <sheetProtection selectLockedCells="1" selectUnlockedCells="1"/>
  <mergeCells count="2">
    <mergeCell ref="B2:C2"/>
    <mergeCell ref="B39:C39"/>
  </mergeCells>
  <hyperlinks>
    <hyperlink ref="S43" r:id="rId1"/>
    <hyperlink ref="S44" r:id="rId2"/>
    <hyperlink ref="S45" r:id="rId3"/>
    <hyperlink ref="S46" r:id="rId4"/>
    <hyperlink ref="S47" r:id="rId5"/>
  </hyperlinks>
  <pageMargins left="0.25" right="0.25" top="0.75" bottom="0.75" header="0.51180555555555551" footer="0.3"/>
  <pageSetup paperSize="9" firstPageNumber="0" orientation="portrait" horizontalDpi="300" verticalDpi="300" r:id="rId6"/>
  <headerFooter alignWithMargins="0">
    <oddFooter>&amp;R&amp;7DATA BASE - REGIÃO: Belém/PA (MÊS: Junho/09)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21" sqref="B21"/>
    </sheetView>
  </sheetViews>
  <sheetFormatPr defaultRowHeight="14.25" x14ac:dyDescent="0.2"/>
  <cols>
    <col min="1" max="1" width="21.42578125" style="159" customWidth="1"/>
    <col min="2" max="2" width="3" style="159" customWidth="1"/>
    <col min="3" max="3" width="5.5703125" style="159" customWidth="1"/>
    <col min="4" max="4" width="4.5703125" style="159" customWidth="1"/>
    <col min="5" max="5" width="10.42578125" style="159" customWidth="1"/>
    <col min="6" max="6" width="7.42578125" style="159" customWidth="1"/>
    <col min="7" max="7" width="10.42578125" style="159" customWidth="1"/>
    <col min="8" max="9" width="9.140625" style="159"/>
    <col min="10" max="10" width="9.42578125" style="159" customWidth="1"/>
    <col min="11" max="11" width="3.140625" style="159" customWidth="1"/>
    <col min="12" max="17" width="9.140625" style="159"/>
    <col min="18" max="18" width="33.5703125" style="159" customWidth="1"/>
    <col min="19" max="16384" width="9.140625" style="159"/>
  </cols>
  <sheetData>
    <row r="1" spans="1:19" ht="15" x14ac:dyDescent="0.25">
      <c r="A1" s="160"/>
      <c r="B1" s="160"/>
      <c r="C1" s="160"/>
      <c r="D1" s="1309" t="s">
        <v>12</v>
      </c>
      <c r="E1" s="1309"/>
      <c r="F1" s="162" t="e">
        <f>#REF!</f>
        <v>#REF!</v>
      </c>
      <c r="G1" s="163" t="s">
        <v>13</v>
      </c>
      <c r="H1" s="162" t="e">
        <f>#REF!</f>
        <v>#REF!</v>
      </c>
      <c r="I1" s="161" t="s">
        <v>13</v>
      </c>
      <c r="J1" s="162" t="e">
        <f>#REF!</f>
        <v>#REF!</v>
      </c>
    </row>
    <row r="3" spans="1:19" x14ac:dyDescent="0.2">
      <c r="A3" s="1302" t="s">
        <v>309</v>
      </c>
      <c r="B3" s="1302"/>
      <c r="C3" s="1302"/>
      <c r="D3" s="1302"/>
      <c r="E3" s="1302"/>
      <c r="F3" s="1302"/>
      <c r="G3" s="1302"/>
    </row>
    <row r="4" spans="1:19" ht="15" x14ac:dyDescent="0.2">
      <c r="A4" s="1307" t="s">
        <v>310</v>
      </c>
      <c r="B4" s="1307"/>
      <c r="C4" s="1307"/>
      <c r="D4" s="1307"/>
      <c r="E4" s="1307"/>
      <c r="F4" s="1307"/>
    </row>
    <row r="7" spans="1:19" x14ac:dyDescent="0.2">
      <c r="A7" s="1302" t="s">
        <v>311</v>
      </c>
      <c r="B7" s="1302"/>
      <c r="C7" s="1302"/>
      <c r="D7" s="1302"/>
      <c r="E7" s="1302"/>
      <c r="F7" s="1302"/>
    </row>
    <row r="9" spans="1:19" x14ac:dyDescent="0.2">
      <c r="A9" s="1305" t="s">
        <v>312</v>
      </c>
      <c r="B9" s="1305"/>
      <c r="C9" s="1305"/>
      <c r="D9" s="1305"/>
      <c r="E9" s="1305"/>
      <c r="F9" s="1305"/>
      <c r="G9" s="1305"/>
      <c r="H9" s="1305"/>
      <c r="I9" s="1305"/>
      <c r="J9" s="1305"/>
    </row>
    <row r="10" spans="1:19" x14ac:dyDescent="0.2">
      <c r="A10" s="1305" t="s">
        <v>313</v>
      </c>
      <c r="B10" s="1305"/>
      <c r="C10" s="1305"/>
      <c r="D10" s="1305"/>
      <c r="E10" s="1305"/>
      <c r="N10" s="1305" t="s">
        <v>314</v>
      </c>
      <c r="O10" s="1305"/>
      <c r="P10" s="1305"/>
      <c r="Q10" s="1305"/>
      <c r="R10" s="1305"/>
    </row>
    <row r="11" spans="1:19" ht="15" x14ac:dyDescent="0.25">
      <c r="A11" s="165" t="s">
        <v>315</v>
      </c>
      <c r="B11" s="166" t="e">
        <f>#REF!</f>
        <v>#REF!</v>
      </c>
      <c r="D11" s="166"/>
      <c r="E11" s="166"/>
      <c r="F11" s="166"/>
      <c r="G11" s="166"/>
      <c r="H11" s="167"/>
      <c r="I11" s="167"/>
      <c r="J11" s="167"/>
      <c r="N11" s="1305" t="s">
        <v>316</v>
      </c>
      <c r="O11" s="1305"/>
      <c r="P11" s="1305"/>
      <c r="Q11" s="1305"/>
      <c r="R11" s="1305"/>
    </row>
    <row r="12" spans="1:19" ht="17.100000000000001" customHeight="1" x14ac:dyDescent="0.2">
      <c r="A12" s="165" t="s">
        <v>103</v>
      </c>
      <c r="B12" s="1307" t="e">
        <f>#REF!</f>
        <v>#REF!</v>
      </c>
      <c r="C12" s="1307"/>
      <c r="D12" s="1307"/>
      <c r="E12" s="1307"/>
      <c r="F12" s="1307"/>
      <c r="G12" s="1307"/>
      <c r="H12" s="1307"/>
      <c r="I12" s="1307"/>
      <c r="J12" s="167"/>
      <c r="N12" s="1302" t="s">
        <v>317</v>
      </c>
      <c r="O12" s="1302"/>
      <c r="P12" s="1302"/>
      <c r="Q12" s="1302"/>
      <c r="R12" s="1302"/>
    </row>
    <row r="13" spans="1:19" ht="15" x14ac:dyDescent="0.25">
      <c r="A13" s="167" t="s">
        <v>318</v>
      </c>
      <c r="B13" s="160" t="e">
        <f>#REF!</f>
        <v>#REF!</v>
      </c>
      <c r="C13" s="160"/>
      <c r="N13" s="1302" t="s">
        <v>319</v>
      </c>
      <c r="O13" s="1302"/>
      <c r="P13" s="1302"/>
      <c r="Q13" s="1302"/>
      <c r="R13" s="1302"/>
    </row>
    <row r="14" spans="1:19" ht="15" x14ac:dyDescent="0.25">
      <c r="A14" s="167" t="s">
        <v>4</v>
      </c>
      <c r="B14" s="1308" t="e">
        <f>#REF!</f>
        <v>#REF!</v>
      </c>
      <c r="C14" s="1308"/>
      <c r="D14" s="1308"/>
      <c r="E14" s="1308"/>
      <c r="N14" s="1305"/>
      <c r="O14" s="1305"/>
      <c r="P14" s="1305"/>
      <c r="Q14" s="1305"/>
      <c r="R14" s="1305"/>
      <c r="S14" s="1305"/>
    </row>
    <row r="15" spans="1:19" ht="15" x14ac:dyDescent="0.25">
      <c r="A15" s="167" t="s">
        <v>320</v>
      </c>
      <c r="B15" s="1306" t="e">
        <f>#REF!</f>
        <v>#REF!</v>
      </c>
      <c r="C15" s="1306"/>
      <c r="D15" s="1306"/>
      <c r="E15" s="168" t="s">
        <v>321</v>
      </c>
      <c r="F15" s="168"/>
      <c r="G15" s="168"/>
      <c r="H15" s="168"/>
      <c r="N15" s="1302" t="s">
        <v>322</v>
      </c>
      <c r="O15" s="1302"/>
      <c r="P15" s="1302"/>
      <c r="Q15" s="1302"/>
      <c r="R15" s="1302"/>
    </row>
    <row r="16" spans="1:19" x14ac:dyDescent="0.2">
      <c r="A16" s="167"/>
      <c r="B16" s="167"/>
      <c r="C16" s="167"/>
      <c r="N16" s="1302" t="s">
        <v>323</v>
      </c>
      <c r="O16" s="1302"/>
      <c r="P16" s="1302"/>
      <c r="Q16" s="1302"/>
      <c r="R16" s="1302"/>
    </row>
    <row r="17" spans="1:19" x14ac:dyDescent="0.2">
      <c r="A17" s="159" t="s">
        <v>324</v>
      </c>
    </row>
    <row r="18" spans="1:19" x14ac:dyDescent="0.2">
      <c r="N18" s="1305" t="s">
        <v>325</v>
      </c>
      <c r="O18" s="1305"/>
      <c r="P18" s="1305"/>
      <c r="Q18" s="1305"/>
      <c r="R18" s="1305"/>
    </row>
    <row r="19" spans="1:19" x14ac:dyDescent="0.2">
      <c r="B19" s="169" t="s">
        <v>326</v>
      </c>
      <c r="C19" s="165" t="s">
        <v>327</v>
      </c>
      <c r="D19" s="165" t="s">
        <v>438</v>
      </c>
      <c r="E19" s="165" t="s">
        <v>329</v>
      </c>
      <c r="F19" s="165" t="s">
        <v>330</v>
      </c>
      <c r="N19" s="1305" t="s">
        <v>316</v>
      </c>
      <c r="O19" s="1305"/>
      <c r="P19" s="1305"/>
      <c r="Q19" s="1305"/>
      <c r="R19" s="1305"/>
    </row>
    <row r="20" spans="1:19" x14ac:dyDescent="0.2">
      <c r="B20" s="169" t="s">
        <v>326</v>
      </c>
      <c r="C20" s="165" t="s">
        <v>327</v>
      </c>
      <c r="D20" s="165" t="s">
        <v>438</v>
      </c>
      <c r="E20" s="165" t="s">
        <v>329</v>
      </c>
      <c r="F20" s="165" t="s">
        <v>332</v>
      </c>
      <c r="N20" s="1302" t="s">
        <v>317</v>
      </c>
      <c r="O20" s="1302"/>
      <c r="P20" s="1302"/>
      <c r="Q20" s="1302"/>
      <c r="R20" s="1302"/>
    </row>
    <row r="21" spans="1:19" x14ac:dyDescent="0.2">
      <c r="B21" s="169" t="s">
        <v>10</v>
      </c>
      <c r="C21" s="165" t="s">
        <v>327</v>
      </c>
      <c r="D21" s="165" t="s">
        <v>439</v>
      </c>
      <c r="E21" s="165" t="s">
        <v>329</v>
      </c>
      <c r="F21" s="165" t="s">
        <v>334</v>
      </c>
      <c r="N21" s="1305" t="s">
        <v>335</v>
      </c>
      <c r="O21" s="1305"/>
      <c r="P21" s="1305"/>
      <c r="Q21" s="1305"/>
      <c r="R21" s="1305"/>
      <c r="S21" s="1305"/>
    </row>
    <row r="22" spans="1:19" x14ac:dyDescent="0.2">
      <c r="B22" s="169" t="s">
        <v>10</v>
      </c>
      <c r="C22" s="165" t="s">
        <v>327</v>
      </c>
      <c r="D22" s="165" t="s">
        <v>439</v>
      </c>
      <c r="E22" s="165" t="s">
        <v>329</v>
      </c>
      <c r="F22" s="165" t="s">
        <v>337</v>
      </c>
      <c r="N22" s="1302" t="s">
        <v>338</v>
      </c>
      <c r="O22" s="1302"/>
      <c r="P22" s="1302"/>
      <c r="Q22" s="1302"/>
      <c r="R22" s="1302"/>
    </row>
    <row r="23" spans="1:19" x14ac:dyDescent="0.2">
      <c r="B23" s="169" t="s">
        <v>326</v>
      </c>
      <c r="C23" s="165" t="s">
        <v>339</v>
      </c>
      <c r="D23" s="165" t="s">
        <v>340</v>
      </c>
      <c r="E23" s="165"/>
      <c r="F23" s="165"/>
      <c r="G23" s="165"/>
      <c r="N23" s="1302" t="s">
        <v>322</v>
      </c>
      <c r="O23" s="1302"/>
      <c r="P23" s="1302"/>
      <c r="Q23" s="1302"/>
      <c r="R23" s="1302"/>
    </row>
    <row r="24" spans="1:19" x14ac:dyDescent="0.2">
      <c r="B24" s="169" t="s">
        <v>326</v>
      </c>
      <c r="C24" s="165" t="s">
        <v>339</v>
      </c>
      <c r="D24" s="165" t="s">
        <v>341</v>
      </c>
      <c r="E24" s="167"/>
      <c r="F24" s="167"/>
      <c r="N24" s="1302" t="s">
        <v>323</v>
      </c>
      <c r="O24" s="1302"/>
      <c r="P24" s="1302"/>
      <c r="Q24" s="1302"/>
      <c r="R24" s="1302"/>
    </row>
    <row r="25" spans="1:19" x14ac:dyDescent="0.2">
      <c r="B25" s="169" t="s">
        <v>10</v>
      </c>
      <c r="C25" s="165" t="s">
        <v>339</v>
      </c>
      <c r="D25" s="165" t="s">
        <v>342</v>
      </c>
      <c r="E25" s="167"/>
      <c r="F25" s="167"/>
    </row>
    <row r="26" spans="1:19" x14ac:dyDescent="0.2">
      <c r="B26" s="169" t="s">
        <v>10</v>
      </c>
      <c r="C26" s="165" t="s">
        <v>339</v>
      </c>
      <c r="D26" s="165" t="s">
        <v>343</v>
      </c>
      <c r="E26" s="167"/>
      <c r="F26" s="167"/>
    </row>
    <row r="27" spans="1:19" x14ac:dyDescent="0.2">
      <c r="B27" s="169" t="s">
        <v>326</v>
      </c>
      <c r="C27" s="165" t="s">
        <v>339</v>
      </c>
      <c r="D27" s="165" t="s">
        <v>344</v>
      </c>
      <c r="E27" s="167"/>
      <c r="F27" s="167"/>
    </row>
    <row r="28" spans="1:19" x14ac:dyDescent="0.2">
      <c r="B28" s="169" t="s">
        <v>326</v>
      </c>
      <c r="C28" s="165" t="s">
        <v>339</v>
      </c>
      <c r="D28" s="165" t="s">
        <v>345</v>
      </c>
      <c r="E28" s="167" t="s">
        <v>346</v>
      </c>
      <c r="F28" s="167"/>
    </row>
    <row r="29" spans="1:19" x14ac:dyDescent="0.2">
      <c r="B29" s="169" t="s">
        <v>10</v>
      </c>
      <c r="C29" s="165" t="s">
        <v>339</v>
      </c>
      <c r="D29" s="165" t="s">
        <v>345</v>
      </c>
      <c r="E29" s="167" t="s">
        <v>347</v>
      </c>
      <c r="F29" s="167"/>
    </row>
    <row r="30" spans="1:19" x14ac:dyDescent="0.2">
      <c r="B30" s="169" t="s">
        <v>10</v>
      </c>
      <c r="C30" s="165" t="s">
        <v>339</v>
      </c>
      <c r="D30" s="165" t="s">
        <v>345</v>
      </c>
      <c r="E30" s="167" t="s">
        <v>348</v>
      </c>
      <c r="F30" s="167"/>
    </row>
    <row r="31" spans="1:19" x14ac:dyDescent="0.2">
      <c r="B31" s="169" t="s">
        <v>10</v>
      </c>
      <c r="C31" s="165" t="s">
        <v>339</v>
      </c>
      <c r="D31" s="165" t="s">
        <v>345</v>
      </c>
      <c r="E31" s="167" t="s">
        <v>349</v>
      </c>
    </row>
    <row r="32" spans="1:19" x14ac:dyDescent="0.2">
      <c r="B32" s="169" t="s">
        <v>10</v>
      </c>
      <c r="C32" s="165" t="s">
        <v>339</v>
      </c>
      <c r="D32" s="165" t="s">
        <v>345</v>
      </c>
      <c r="E32" s="167" t="s">
        <v>350</v>
      </c>
    </row>
    <row r="33" spans="1:18" x14ac:dyDescent="0.2">
      <c r="B33" s="169"/>
      <c r="C33" s="165"/>
      <c r="D33" s="165"/>
      <c r="E33" s="167"/>
    </row>
    <row r="34" spans="1:18" x14ac:dyDescent="0.2">
      <c r="C34" s="1301" t="s">
        <v>351</v>
      </c>
      <c r="D34" s="1301"/>
      <c r="E34" s="1301"/>
      <c r="F34" s="1301"/>
      <c r="G34" s="1301"/>
      <c r="N34" s="1305" t="s">
        <v>352</v>
      </c>
      <c r="O34" s="1305"/>
      <c r="P34" s="1305"/>
      <c r="Q34" s="1305"/>
      <c r="R34" s="1305"/>
    </row>
    <row r="35" spans="1:18" x14ac:dyDescent="0.2">
      <c r="N35" s="1305" t="s">
        <v>353</v>
      </c>
      <c r="O35" s="1305"/>
      <c r="P35" s="1305"/>
      <c r="Q35" s="1305"/>
      <c r="R35" s="1305"/>
    </row>
    <row r="36" spans="1:18" x14ac:dyDescent="0.2">
      <c r="N36" s="1305" t="s">
        <v>354</v>
      </c>
      <c r="O36" s="1305"/>
      <c r="P36" s="1305"/>
      <c r="Q36" s="1305"/>
      <c r="R36" s="1305"/>
    </row>
    <row r="37" spans="1:18" x14ac:dyDescent="0.2">
      <c r="N37" s="167" t="s">
        <v>355</v>
      </c>
      <c r="O37" s="165"/>
      <c r="P37" s="165"/>
      <c r="Q37" s="165"/>
      <c r="R37" s="165"/>
    </row>
    <row r="38" spans="1:18" x14ac:dyDescent="0.2">
      <c r="D38" s="212" t="e">
        <f>NPSH!C35</f>
        <v>#REF!</v>
      </c>
      <c r="E38" s="212"/>
      <c r="F38" s="212"/>
      <c r="G38" s="212"/>
      <c r="N38" s="167" t="s">
        <v>357</v>
      </c>
      <c r="O38" s="167"/>
      <c r="P38" s="167"/>
      <c r="Q38" s="167"/>
      <c r="R38" s="167"/>
    </row>
    <row r="39" spans="1:18" x14ac:dyDescent="0.2">
      <c r="D39" s="1301" t="e">
        <f>CONCATENATE(NPSH!C36," ",NPSH!D36)</f>
        <v>#REF!</v>
      </c>
      <c r="E39" s="1301"/>
      <c r="F39" s="1301"/>
      <c r="G39" s="1301"/>
      <c r="N39" s="167" t="s">
        <v>359</v>
      </c>
      <c r="O39" s="167"/>
      <c r="P39" s="167"/>
      <c r="Q39" s="167"/>
      <c r="R39" s="167"/>
    </row>
    <row r="40" spans="1:18" x14ac:dyDescent="0.2">
      <c r="D40" s="1301" t="s">
        <v>440</v>
      </c>
      <c r="E40" s="1301"/>
      <c r="F40" s="1301"/>
      <c r="G40" s="1301"/>
      <c r="N40" s="170" t="s">
        <v>361</v>
      </c>
    </row>
    <row r="41" spans="1:18" x14ac:dyDescent="0.2">
      <c r="D41" s="1301" t="s">
        <v>441</v>
      </c>
      <c r="E41" s="1301"/>
      <c r="F41" s="1301"/>
      <c r="G41" s="1301"/>
      <c r="N41" s="171" t="s">
        <v>363</v>
      </c>
    </row>
    <row r="42" spans="1:18" x14ac:dyDescent="0.2">
      <c r="D42" s="1301" t="e">
        <f>CONCATENATE("E-mail: ",#REF!)</f>
        <v>#REF!</v>
      </c>
      <c r="E42" s="1301"/>
      <c r="F42" s="1301"/>
      <c r="G42" s="1301"/>
      <c r="N42" s="167" t="s">
        <v>365</v>
      </c>
    </row>
    <row r="43" spans="1:18" x14ac:dyDescent="0.2">
      <c r="N43" s="167" t="s">
        <v>366</v>
      </c>
    </row>
    <row r="44" spans="1:18" x14ac:dyDescent="0.2">
      <c r="N44" s="167" t="s">
        <v>367</v>
      </c>
    </row>
    <row r="46" spans="1:18" x14ac:dyDescent="0.2">
      <c r="A46" s="1301" t="s">
        <v>368</v>
      </c>
      <c r="B46" s="1301"/>
      <c r="C46" s="1301"/>
      <c r="D46" s="1301"/>
      <c r="G46" s="1302" t="s">
        <v>369</v>
      </c>
      <c r="H46" s="1302"/>
      <c r="I46" s="1302"/>
      <c r="J46" s="1302"/>
    </row>
    <row r="48" spans="1:18" x14ac:dyDescent="0.2">
      <c r="A48" s="1303" t="s">
        <v>370</v>
      </c>
      <c r="B48" s="1303"/>
      <c r="C48" s="1303"/>
      <c r="D48" s="1303"/>
    </row>
    <row r="49" spans="1:4" x14ac:dyDescent="0.2">
      <c r="A49" s="1304" t="s">
        <v>371</v>
      </c>
      <c r="B49" s="1304"/>
      <c r="C49" s="1304"/>
      <c r="D49" s="1304"/>
    </row>
    <row r="50" spans="1:4" x14ac:dyDescent="0.2">
      <c r="A50" s="1303" t="s">
        <v>370</v>
      </c>
      <c r="B50" s="1303"/>
      <c r="C50" s="1303"/>
      <c r="D50" s="1303"/>
    </row>
    <row r="51" spans="1:4" x14ac:dyDescent="0.2">
      <c r="A51" s="1301" t="s">
        <v>372</v>
      </c>
      <c r="B51" s="1301"/>
      <c r="C51" s="1301"/>
      <c r="D51" s="1301"/>
    </row>
  </sheetData>
  <mergeCells count="37">
    <mergeCell ref="D1:E1"/>
    <mergeCell ref="A3:G3"/>
    <mergeCell ref="A4:F4"/>
    <mergeCell ref="A7:F7"/>
    <mergeCell ref="A9:J9"/>
    <mergeCell ref="A10:E10"/>
    <mergeCell ref="N10:R10"/>
    <mergeCell ref="N11:R11"/>
    <mergeCell ref="B12:I12"/>
    <mergeCell ref="N12:R12"/>
    <mergeCell ref="N13:R13"/>
    <mergeCell ref="B14:E14"/>
    <mergeCell ref="N14:S14"/>
    <mergeCell ref="B15:D15"/>
    <mergeCell ref="N15:R15"/>
    <mergeCell ref="N16:R16"/>
    <mergeCell ref="N18:R18"/>
    <mergeCell ref="N19:R19"/>
    <mergeCell ref="N20:R20"/>
    <mergeCell ref="N21:S21"/>
    <mergeCell ref="N22:R22"/>
    <mergeCell ref="N23:R23"/>
    <mergeCell ref="N24:R24"/>
    <mergeCell ref="C34:G34"/>
    <mergeCell ref="N34:R34"/>
    <mergeCell ref="N35:R35"/>
    <mergeCell ref="N36:R36"/>
    <mergeCell ref="D39:G39"/>
    <mergeCell ref="D40:G40"/>
    <mergeCell ref="D41:G41"/>
    <mergeCell ref="D42:G42"/>
    <mergeCell ref="A46:D46"/>
    <mergeCell ref="G46:J46"/>
    <mergeCell ref="A48:D48"/>
    <mergeCell ref="A49:D49"/>
    <mergeCell ref="A50:D50"/>
    <mergeCell ref="A51:D51"/>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21" workbookViewId="0">
      <selection activeCell="D44" sqref="D44"/>
    </sheetView>
  </sheetViews>
  <sheetFormatPr defaultRowHeight="14.25" x14ac:dyDescent="0.2"/>
  <cols>
    <col min="1" max="1" width="18.42578125" style="159" customWidth="1"/>
    <col min="2" max="2" width="3" style="159" customWidth="1"/>
    <col min="3" max="3" width="5.85546875" style="159" customWidth="1"/>
    <col min="4" max="4" width="4.5703125" style="159" customWidth="1"/>
    <col min="5" max="5" width="9.140625" style="159"/>
    <col min="6" max="6" width="7.42578125" style="159" customWidth="1"/>
    <col min="7" max="7" width="11.85546875" style="159" customWidth="1"/>
    <col min="8" max="10" width="9.140625" style="159"/>
    <col min="11" max="11" width="3.140625" style="159" customWidth="1"/>
    <col min="12" max="16384" width="9.140625" style="159"/>
  </cols>
  <sheetData>
    <row r="1" spans="1:18" ht="15" x14ac:dyDescent="0.25">
      <c r="A1" s="160"/>
      <c r="B1" s="160"/>
      <c r="C1" s="160"/>
      <c r="D1" s="1309" t="s">
        <v>12</v>
      </c>
      <c r="E1" s="1309"/>
      <c r="F1" s="162">
        <v>11</v>
      </c>
      <c r="G1" s="163" t="s">
        <v>13</v>
      </c>
      <c r="H1" s="163" t="s">
        <v>745</v>
      </c>
      <c r="I1" s="161" t="s">
        <v>13</v>
      </c>
      <c r="J1" s="164">
        <v>2015</v>
      </c>
    </row>
    <row r="3" spans="1:18" x14ac:dyDescent="0.2">
      <c r="A3" s="212" t="s">
        <v>373</v>
      </c>
      <c r="B3" s="212" t="e">
        <f>#REF!</f>
        <v>#REF!</v>
      </c>
      <c r="C3" s="212"/>
      <c r="D3" s="212"/>
      <c r="E3" s="212"/>
      <c r="F3" s="212"/>
      <c r="G3" s="212"/>
    </row>
    <row r="4" spans="1:18" x14ac:dyDescent="0.2">
      <c r="A4" s="165"/>
      <c r="B4" s="165"/>
      <c r="C4" s="165"/>
      <c r="D4" s="165"/>
      <c r="E4" s="165"/>
      <c r="F4" s="165"/>
    </row>
    <row r="6" spans="1:18" x14ac:dyDescent="0.2">
      <c r="A6" s="1305" t="s">
        <v>746</v>
      </c>
      <c r="B6" s="1305"/>
      <c r="C6" s="1305"/>
      <c r="D6" s="1305"/>
      <c r="E6" s="1305"/>
      <c r="F6" s="1305"/>
      <c r="G6" s="1305"/>
      <c r="H6" s="1305"/>
      <c r="I6" s="1305"/>
      <c r="J6" s="1305"/>
    </row>
    <row r="7" spans="1:18" ht="15" x14ac:dyDescent="0.2">
      <c r="A7" s="165" t="s">
        <v>747</v>
      </c>
      <c r="B7" s="165"/>
      <c r="C7" s="165"/>
      <c r="D7" s="165"/>
      <c r="E7" s="165"/>
    </row>
    <row r="8" spans="1:18" ht="15" x14ac:dyDescent="0.25">
      <c r="A8" s="1305" t="s">
        <v>315</v>
      </c>
      <c r="B8" s="1305"/>
      <c r="C8" s="166" t="e">
        <f>#REF!</f>
        <v>#REF!</v>
      </c>
      <c r="D8" s="166"/>
      <c r="E8" s="166"/>
      <c r="F8" s="166"/>
      <c r="G8" s="166"/>
      <c r="H8" s="167"/>
      <c r="I8" s="167"/>
      <c r="J8" s="167"/>
    </row>
    <row r="9" spans="1:18" ht="17.100000000000001" customHeight="1" x14ac:dyDescent="0.2">
      <c r="A9" s="165" t="s">
        <v>103</v>
      </c>
      <c r="C9" s="172" t="e">
        <f>#REF!</f>
        <v>#REF!</v>
      </c>
      <c r="D9" s="172"/>
      <c r="E9" s="172"/>
      <c r="F9" s="172"/>
      <c r="G9" s="172"/>
      <c r="H9" s="172"/>
      <c r="I9" s="172"/>
      <c r="J9" s="167"/>
    </row>
    <row r="10" spans="1:18" ht="15" x14ac:dyDescent="0.25">
      <c r="A10" s="167" t="s">
        <v>318</v>
      </c>
      <c r="C10" s="160" t="e">
        <f>#REF!</f>
        <v>#REF!</v>
      </c>
    </row>
    <row r="11" spans="1:18" ht="15" x14ac:dyDescent="0.25">
      <c r="A11" s="167" t="s">
        <v>4</v>
      </c>
      <c r="C11" s="160" t="e">
        <f>#REF!</f>
        <v>#REF!</v>
      </c>
      <c r="D11" s="160"/>
      <c r="E11" s="160"/>
    </row>
    <row r="12" spans="1:18" ht="15" x14ac:dyDescent="0.25">
      <c r="A12" s="1302" t="s">
        <v>320</v>
      </c>
      <c r="B12" s="1302"/>
      <c r="C12" s="1310" t="e">
        <f>#REF!</f>
        <v>#REF!</v>
      </c>
      <c r="D12" s="1310"/>
      <c r="E12" s="168" t="s">
        <v>321</v>
      </c>
      <c r="F12" s="173"/>
      <c r="G12" s="173"/>
      <c r="H12" s="173"/>
      <c r="I12" s="173"/>
    </row>
    <row r="13" spans="1:18" x14ac:dyDescent="0.2">
      <c r="A13" s="167"/>
      <c r="B13" s="167"/>
      <c r="C13" s="167"/>
    </row>
    <row r="14" spans="1:18" x14ac:dyDescent="0.2">
      <c r="A14" s="159" t="s">
        <v>375</v>
      </c>
    </row>
    <row r="15" spans="1:18" x14ac:dyDescent="0.2">
      <c r="B15" s="169" t="s">
        <v>376</v>
      </c>
      <c r="C15" s="165" t="s">
        <v>327</v>
      </c>
      <c r="D15" s="165" t="s">
        <v>331</v>
      </c>
      <c r="E15" s="165" t="s">
        <v>329</v>
      </c>
      <c r="F15" s="165" t="s">
        <v>330</v>
      </c>
      <c r="N15" s="1305" t="s">
        <v>314</v>
      </c>
      <c r="O15" s="1305"/>
      <c r="P15" s="1305"/>
      <c r="Q15" s="1305"/>
      <c r="R15" s="1305"/>
    </row>
    <row r="16" spans="1:18" x14ac:dyDescent="0.2">
      <c r="B16" s="169" t="s">
        <v>376</v>
      </c>
      <c r="C16" s="165" t="s">
        <v>327</v>
      </c>
      <c r="D16" s="165" t="s">
        <v>331</v>
      </c>
      <c r="E16" s="165" t="s">
        <v>329</v>
      </c>
      <c r="F16" s="165" t="s">
        <v>332</v>
      </c>
      <c r="N16" s="1305" t="s">
        <v>316</v>
      </c>
      <c r="O16" s="1305"/>
      <c r="P16" s="1305"/>
      <c r="Q16" s="1305"/>
      <c r="R16" s="1305"/>
    </row>
    <row r="17" spans="2:19" x14ac:dyDescent="0.2">
      <c r="B17" s="169" t="s">
        <v>10</v>
      </c>
      <c r="C17" s="165" t="s">
        <v>327</v>
      </c>
      <c r="D17" s="165" t="s">
        <v>748</v>
      </c>
      <c r="E17" s="165" t="s">
        <v>329</v>
      </c>
      <c r="F17" s="165" t="s">
        <v>334</v>
      </c>
      <c r="N17" s="1302" t="s">
        <v>317</v>
      </c>
      <c r="O17" s="1302"/>
      <c r="P17" s="1302"/>
      <c r="Q17" s="1302"/>
      <c r="R17" s="1302"/>
    </row>
    <row r="18" spans="2:19" x14ac:dyDescent="0.2">
      <c r="B18" s="169" t="s">
        <v>10</v>
      </c>
      <c r="C18" s="165" t="s">
        <v>327</v>
      </c>
      <c r="D18" s="165" t="s">
        <v>748</v>
      </c>
      <c r="E18" s="165" t="s">
        <v>329</v>
      </c>
      <c r="F18" s="165" t="s">
        <v>337</v>
      </c>
      <c r="N18" s="1302" t="s">
        <v>338</v>
      </c>
      <c r="O18" s="1302"/>
      <c r="P18" s="1302"/>
      <c r="Q18" s="1302"/>
      <c r="R18" s="1302"/>
    </row>
    <row r="19" spans="2:19" x14ac:dyDescent="0.2">
      <c r="B19" s="169" t="s">
        <v>749</v>
      </c>
      <c r="C19" s="165" t="s">
        <v>339</v>
      </c>
      <c r="D19" s="165" t="s">
        <v>340</v>
      </c>
      <c r="E19" s="165"/>
      <c r="F19" s="165"/>
      <c r="G19" s="165"/>
      <c r="N19" s="1305" t="s">
        <v>335</v>
      </c>
      <c r="O19" s="1305"/>
      <c r="P19" s="1305"/>
      <c r="Q19" s="1305"/>
      <c r="R19" s="1305"/>
      <c r="S19" s="1305"/>
    </row>
    <row r="20" spans="2:19" x14ac:dyDescent="0.2">
      <c r="B20" s="169" t="s">
        <v>749</v>
      </c>
      <c r="C20" s="165" t="s">
        <v>339</v>
      </c>
      <c r="D20" s="165" t="s">
        <v>341</v>
      </c>
      <c r="E20" s="167"/>
      <c r="F20" s="167"/>
      <c r="N20" s="1302" t="s">
        <v>322</v>
      </c>
      <c r="O20" s="1302"/>
      <c r="P20" s="1302"/>
      <c r="Q20" s="1302"/>
      <c r="R20" s="1302"/>
    </row>
    <row r="21" spans="2:19" x14ac:dyDescent="0.2">
      <c r="B21" s="169" t="s">
        <v>10</v>
      </c>
      <c r="C21" s="165" t="s">
        <v>339</v>
      </c>
      <c r="D21" s="165" t="s">
        <v>342</v>
      </c>
      <c r="E21" s="167"/>
      <c r="F21" s="167"/>
      <c r="N21" s="1302" t="s">
        <v>323</v>
      </c>
      <c r="O21" s="1302"/>
      <c r="P21" s="1302"/>
      <c r="Q21" s="1302"/>
      <c r="R21" s="1302"/>
    </row>
    <row r="22" spans="2:19" x14ac:dyDescent="0.2">
      <c r="B22" s="169" t="s">
        <v>10</v>
      </c>
      <c r="C22" s="165" t="s">
        <v>339</v>
      </c>
      <c r="D22" s="165" t="s">
        <v>343</v>
      </c>
      <c r="E22" s="167"/>
      <c r="F22" s="167"/>
    </row>
    <row r="23" spans="2:19" x14ac:dyDescent="0.2">
      <c r="B23" s="169" t="s">
        <v>749</v>
      </c>
      <c r="C23" s="165" t="s">
        <v>339</v>
      </c>
      <c r="D23" s="165" t="s">
        <v>344</v>
      </c>
      <c r="E23" s="167"/>
      <c r="F23" s="167"/>
    </row>
    <row r="24" spans="2:19" x14ac:dyDescent="0.2">
      <c r="B24" s="169" t="s">
        <v>749</v>
      </c>
      <c r="C24" s="165" t="s">
        <v>339</v>
      </c>
      <c r="D24" s="165" t="s">
        <v>345</v>
      </c>
      <c r="E24" s="167" t="s">
        <v>346</v>
      </c>
      <c r="F24" s="167"/>
    </row>
    <row r="25" spans="2:19" x14ac:dyDescent="0.2">
      <c r="B25" s="169" t="s">
        <v>10</v>
      </c>
      <c r="C25" s="165" t="s">
        <v>339</v>
      </c>
      <c r="D25" s="165" t="s">
        <v>345</v>
      </c>
      <c r="E25" s="167" t="s">
        <v>347</v>
      </c>
      <c r="F25" s="167"/>
    </row>
    <row r="26" spans="2:19" x14ac:dyDescent="0.2">
      <c r="B26" s="169" t="s">
        <v>10</v>
      </c>
      <c r="C26" s="165" t="s">
        <v>339</v>
      </c>
      <c r="D26" s="165" t="s">
        <v>345</v>
      </c>
      <c r="E26" s="167" t="s">
        <v>348</v>
      </c>
      <c r="F26" s="167"/>
    </row>
    <row r="27" spans="2:19" x14ac:dyDescent="0.2">
      <c r="B27" s="169" t="s">
        <v>10</v>
      </c>
      <c r="C27" s="165" t="s">
        <v>339</v>
      </c>
      <c r="D27" s="165" t="s">
        <v>345</v>
      </c>
      <c r="E27" s="167" t="s">
        <v>349</v>
      </c>
    </row>
    <row r="28" spans="2:19" x14ac:dyDescent="0.2">
      <c r="B28" s="169" t="s">
        <v>10</v>
      </c>
      <c r="C28" s="165" t="s">
        <v>339</v>
      </c>
      <c r="D28" s="165" t="s">
        <v>345</v>
      </c>
      <c r="E28" s="167" t="s">
        <v>350</v>
      </c>
    </row>
    <row r="34" spans="1:10" x14ac:dyDescent="0.2">
      <c r="C34" s="1301" t="s">
        <v>351</v>
      </c>
      <c r="D34" s="1301"/>
      <c r="E34" s="1301"/>
      <c r="F34" s="1301"/>
      <c r="G34" s="1301"/>
    </row>
    <row r="38" spans="1:10" x14ac:dyDescent="0.2">
      <c r="C38" s="1301" t="s">
        <v>750</v>
      </c>
      <c r="D38" s="1301"/>
      <c r="E38" s="1301"/>
      <c r="F38" s="1301"/>
      <c r="G38" s="1301"/>
      <c r="H38" s="1301"/>
    </row>
    <row r="39" spans="1:10" x14ac:dyDescent="0.2">
      <c r="D39" s="1301" t="s">
        <v>751</v>
      </c>
      <c r="E39" s="1301"/>
      <c r="F39" s="1301"/>
      <c r="G39" s="1301"/>
    </row>
    <row r="40" spans="1:10" x14ac:dyDescent="0.2">
      <c r="D40" s="1301" t="s">
        <v>440</v>
      </c>
      <c r="E40" s="1301"/>
      <c r="F40" s="1301"/>
      <c r="G40" s="1301"/>
    </row>
    <row r="41" spans="1:10" x14ac:dyDescent="0.2">
      <c r="D41" s="1301" t="s">
        <v>752</v>
      </c>
      <c r="E41" s="1301"/>
      <c r="F41" s="1301"/>
      <c r="G41" s="1301"/>
    </row>
    <row r="42" spans="1:10" x14ac:dyDescent="0.2">
      <c r="D42" s="1301" t="e">
        <f>CONCATENATE("E-mail: ",#REF!)</f>
        <v>#REF!</v>
      </c>
      <c r="E42" s="1301"/>
      <c r="F42" s="1301"/>
      <c r="G42" s="1301"/>
    </row>
    <row r="46" spans="1:10" x14ac:dyDescent="0.2">
      <c r="A46" s="1301" t="s">
        <v>753</v>
      </c>
      <c r="B46" s="1301"/>
      <c r="C46" s="1301"/>
      <c r="D46" s="1301"/>
      <c r="G46" s="1302"/>
      <c r="H46" s="1302"/>
      <c r="I46" s="1302"/>
      <c r="J46" s="1302"/>
    </row>
    <row r="48" spans="1:10" x14ac:dyDescent="0.2">
      <c r="A48" s="1303" t="s">
        <v>370</v>
      </c>
      <c r="B48" s="1303"/>
      <c r="C48" s="1303"/>
      <c r="D48" s="1303"/>
    </row>
    <row r="49" spans="1:4" x14ac:dyDescent="0.2">
      <c r="A49" s="1304" t="s">
        <v>371</v>
      </c>
      <c r="B49" s="1304"/>
      <c r="C49" s="1304"/>
      <c r="D49" s="1304"/>
    </row>
    <row r="50" spans="1:4" x14ac:dyDescent="0.2">
      <c r="A50" s="1303" t="s">
        <v>370</v>
      </c>
      <c r="B50" s="1303"/>
      <c r="C50" s="1303"/>
      <c r="D50" s="1303"/>
    </row>
    <row r="51" spans="1:4" x14ac:dyDescent="0.2">
      <c r="A51" s="1301" t="s">
        <v>372</v>
      </c>
      <c r="B51" s="1301"/>
      <c r="C51" s="1301"/>
      <c r="D51" s="1301"/>
    </row>
  </sheetData>
  <mergeCells count="24">
    <mergeCell ref="N21:R21"/>
    <mergeCell ref="D1:E1"/>
    <mergeCell ref="A6:J6"/>
    <mergeCell ref="A8:B8"/>
    <mergeCell ref="A12:B12"/>
    <mergeCell ref="C12:D12"/>
    <mergeCell ref="N15:R15"/>
    <mergeCell ref="A51:D51"/>
    <mergeCell ref="D42:G42"/>
    <mergeCell ref="A46:D46"/>
    <mergeCell ref="G46:J46"/>
    <mergeCell ref="A48:D48"/>
    <mergeCell ref="N16:R16"/>
    <mergeCell ref="N17:R17"/>
    <mergeCell ref="N18:R18"/>
    <mergeCell ref="N19:S19"/>
    <mergeCell ref="N20:R20"/>
    <mergeCell ref="A49:D49"/>
    <mergeCell ref="A50:D50"/>
    <mergeCell ref="C34:G34"/>
    <mergeCell ref="D39:G39"/>
    <mergeCell ref="D40:G40"/>
    <mergeCell ref="D41:G41"/>
    <mergeCell ref="C38:H3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1"/>
  <sheetViews>
    <sheetView view="pageLayout" topLeftCell="A25" zoomScale="92" zoomScaleNormal="100" zoomScalePageLayoutView="92" workbookViewId="0">
      <selection activeCell="J56" sqref="J56"/>
    </sheetView>
  </sheetViews>
  <sheetFormatPr defaultRowHeight="12.75" x14ac:dyDescent="0.2"/>
  <cols>
    <col min="1" max="17" width="3.5703125" customWidth="1"/>
    <col min="18" max="18" width="4.42578125" customWidth="1"/>
    <col min="19" max="20" width="3.5703125" customWidth="1"/>
    <col min="21" max="21" width="3.42578125" customWidth="1"/>
    <col min="22" max="25" width="3.5703125" customWidth="1"/>
    <col min="26" max="26" width="3.42578125" customWidth="1"/>
    <col min="28" max="28" width="14.5703125" customWidth="1"/>
  </cols>
  <sheetData>
    <row r="1" spans="1:51" ht="15" customHeight="1" thickBot="1" x14ac:dyDescent="0.25">
      <c r="A1" s="920" t="s">
        <v>1</v>
      </c>
      <c r="B1" s="920"/>
      <c r="C1" s="920"/>
      <c r="D1" s="920"/>
      <c r="E1" s="920"/>
      <c r="F1" s="920"/>
      <c r="G1" s="920"/>
      <c r="H1" s="921" t="s">
        <v>0</v>
      </c>
      <c r="I1" s="921"/>
      <c r="J1" s="921"/>
      <c r="K1" s="921"/>
      <c r="L1" s="921"/>
      <c r="M1" s="921"/>
      <c r="N1" s="921"/>
      <c r="O1" s="921"/>
      <c r="P1" s="921"/>
      <c r="Q1" s="921"/>
      <c r="R1" s="922" t="s">
        <v>47</v>
      </c>
      <c r="S1" s="922"/>
      <c r="T1" s="922"/>
      <c r="U1" s="922"/>
      <c r="V1" s="922"/>
      <c r="W1" s="922"/>
      <c r="X1" s="922"/>
      <c r="Y1" s="922"/>
      <c r="Z1" s="922"/>
      <c r="AA1" s="2"/>
    </row>
    <row r="2" spans="1:51" ht="15" customHeight="1" thickBot="1" x14ac:dyDescent="0.25">
      <c r="A2" s="590" t="s">
        <v>48</v>
      </c>
      <c r="B2" s="24"/>
      <c r="C2" s="24"/>
      <c r="D2" s="24"/>
      <c r="E2" s="24"/>
      <c r="F2" s="24"/>
      <c r="G2" s="24"/>
      <c r="H2" s="25"/>
      <c r="I2" s="25"/>
      <c r="J2" s="25"/>
      <c r="K2" s="25"/>
      <c r="L2" s="25"/>
      <c r="M2" s="25"/>
      <c r="N2" s="25"/>
      <c r="O2" s="25"/>
      <c r="P2" s="25"/>
      <c r="Q2" s="25"/>
      <c r="R2" s="26"/>
      <c r="S2" s="26"/>
      <c r="T2" s="26"/>
      <c r="U2" s="26"/>
      <c r="V2" s="26"/>
      <c r="W2" s="26"/>
      <c r="X2" s="26"/>
      <c r="Y2" s="26"/>
      <c r="Z2" s="591"/>
      <c r="AA2" s="2"/>
    </row>
    <row r="3" spans="1:51" ht="15" customHeight="1" thickBot="1" x14ac:dyDescent="0.25">
      <c r="A3" s="774" t="s">
        <v>811</v>
      </c>
      <c r="B3" s="775"/>
      <c r="C3" s="775"/>
      <c r="D3" s="775"/>
      <c r="E3" s="775"/>
      <c r="F3" s="775"/>
      <c r="G3" s="775"/>
      <c r="H3" s="775"/>
      <c r="I3" s="775"/>
      <c r="J3" s="775"/>
      <c r="K3" s="775"/>
      <c r="L3" s="775"/>
      <c r="M3" s="775"/>
      <c r="N3" s="775"/>
      <c r="O3" s="775"/>
      <c r="P3" s="775"/>
      <c r="Q3" s="775"/>
      <c r="R3" s="775"/>
      <c r="S3" s="775"/>
      <c r="T3" s="775"/>
      <c r="U3" s="775"/>
      <c r="V3" s="775"/>
      <c r="W3" s="775"/>
      <c r="X3" s="775"/>
      <c r="Y3" s="775"/>
      <c r="Z3" s="776"/>
      <c r="AA3" s="2"/>
    </row>
    <row r="4" spans="1:51" ht="15" customHeight="1" thickBot="1" x14ac:dyDescent="0.25">
      <c r="A4" s="592" t="s">
        <v>49</v>
      </c>
      <c r="B4" s="593" t="str">
        <f>IF('MC1'!H16="x","X","")</f>
        <v/>
      </c>
      <c r="C4" s="594" t="s">
        <v>50</v>
      </c>
      <c r="D4" s="595"/>
      <c r="E4" s="595"/>
      <c r="F4" s="595"/>
      <c r="G4" s="595"/>
      <c r="H4" s="595"/>
      <c r="I4" s="32"/>
      <c r="J4" s="32"/>
      <c r="K4" s="32"/>
      <c r="L4" s="32"/>
      <c r="M4" s="32"/>
      <c r="N4" s="592" t="s">
        <v>49</v>
      </c>
      <c r="O4" s="596" t="str">
        <f>IF(B4="X","","X")</f>
        <v>X</v>
      </c>
      <c r="P4" s="594" t="s">
        <v>51</v>
      </c>
      <c r="Q4" s="595"/>
      <c r="R4" s="595"/>
      <c r="S4" s="595"/>
      <c r="T4" s="595"/>
      <c r="U4" s="595"/>
      <c r="V4" s="597"/>
      <c r="W4" s="597"/>
      <c r="X4" s="597"/>
      <c r="Y4" s="597"/>
      <c r="Z4" s="598"/>
      <c r="AA4" s="2"/>
    </row>
    <row r="5" spans="1:51" x14ac:dyDescent="0.2">
      <c r="A5" s="29" t="s">
        <v>52</v>
      </c>
      <c r="B5" s="30"/>
      <c r="C5" s="30"/>
      <c r="D5" s="30"/>
      <c r="E5" s="30"/>
      <c r="F5" s="30"/>
      <c r="G5" s="30"/>
      <c r="H5" s="30"/>
      <c r="I5" s="30"/>
      <c r="J5" s="30"/>
      <c r="K5" s="30"/>
      <c r="L5" s="30"/>
      <c r="M5" s="31"/>
      <c r="N5" s="29" t="s">
        <v>52</v>
      </c>
      <c r="O5" s="30"/>
      <c r="P5" s="30"/>
      <c r="Q5" s="30"/>
      <c r="R5" s="30"/>
      <c r="S5" s="30"/>
      <c r="T5" s="30"/>
      <c r="U5" s="30"/>
      <c r="V5" s="30"/>
      <c r="W5" s="30"/>
      <c r="X5" s="30"/>
      <c r="Y5" s="30"/>
      <c r="Z5" s="31"/>
      <c r="AA5" s="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x14ac:dyDescent="0.2">
      <c r="A6" s="33" t="s">
        <v>53</v>
      </c>
      <c r="B6" s="2"/>
      <c r="C6" s="2"/>
      <c r="D6" s="2"/>
      <c r="E6" s="2"/>
      <c r="F6" s="2"/>
      <c r="G6" s="2"/>
      <c r="H6" s="2"/>
      <c r="I6" s="2"/>
      <c r="J6" s="2"/>
      <c r="K6" s="2"/>
      <c r="L6" s="2"/>
      <c r="M6" s="34"/>
      <c r="N6" s="33" t="s">
        <v>54</v>
      </c>
      <c r="O6" s="2"/>
      <c r="P6" s="2"/>
      <c r="Q6" s="2"/>
      <c r="R6" s="2"/>
      <c r="S6" s="2"/>
      <c r="T6" s="2"/>
      <c r="U6" s="2"/>
      <c r="V6" s="2"/>
      <c r="W6" s="2"/>
      <c r="X6" s="2"/>
      <c r="Y6" s="2"/>
      <c r="Z6" s="34"/>
      <c r="AA6" s="2"/>
      <c r="AB6" s="35"/>
      <c r="AC6" s="35"/>
      <c r="AD6" s="35"/>
      <c r="AE6" s="35"/>
      <c r="AF6" s="35"/>
      <c r="AG6" s="35"/>
      <c r="AH6" s="35"/>
      <c r="AI6" s="35"/>
      <c r="AJ6" s="35"/>
      <c r="AK6" s="35"/>
      <c r="AL6" s="35"/>
      <c r="AM6" s="35"/>
      <c r="AN6" s="35"/>
      <c r="AO6" s="35"/>
      <c r="AP6" s="35"/>
      <c r="AQ6" s="35"/>
      <c r="AR6" s="35"/>
      <c r="AS6" s="35"/>
      <c r="AT6" s="35"/>
      <c r="AU6" s="35"/>
      <c r="AV6" s="35"/>
      <c r="AW6" s="36"/>
      <c r="AX6" s="36"/>
      <c r="AY6" s="36"/>
    </row>
    <row r="7" spans="1:51" x14ac:dyDescent="0.2">
      <c r="A7" s="33" t="s">
        <v>55</v>
      </c>
      <c r="K7" s="923" t="str">
        <f>IF('MC2'!B4="x",SUM(NBR!I6:I7),"")</f>
        <v/>
      </c>
      <c r="L7" s="923"/>
      <c r="M7" s="34"/>
      <c r="N7" s="33" t="s">
        <v>56</v>
      </c>
      <c r="O7" s="2"/>
      <c r="P7" s="2"/>
      <c r="Q7" s="2"/>
      <c r="R7" s="2"/>
      <c r="S7" s="2"/>
      <c r="T7" s="2"/>
      <c r="U7" s="2"/>
      <c r="V7" s="2"/>
      <c r="W7" s="2"/>
      <c r="X7" s="2"/>
      <c r="Z7" s="34"/>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x14ac:dyDescent="0.2">
      <c r="A8" s="37" t="s">
        <v>57</v>
      </c>
      <c r="B8" s="2"/>
      <c r="C8" s="2"/>
      <c r="D8" s="2"/>
      <c r="E8" s="2"/>
      <c r="F8" s="2"/>
      <c r="G8" s="2"/>
      <c r="H8" s="2"/>
      <c r="I8" s="2"/>
      <c r="J8" s="2"/>
      <c r="K8" s="2"/>
      <c r="L8" s="2"/>
      <c r="M8" s="34"/>
      <c r="Y8" s="2"/>
      <c r="Z8" s="34"/>
      <c r="AB8" s="19"/>
      <c r="AC8" s="22"/>
      <c r="AD8" s="22"/>
      <c r="AE8" s="22"/>
      <c r="AF8" s="22"/>
      <c r="AG8" s="22"/>
      <c r="AH8" s="22"/>
      <c r="AI8" s="22"/>
      <c r="AJ8" s="22"/>
      <c r="AK8" s="22"/>
      <c r="AL8" s="22"/>
      <c r="AM8" s="22"/>
      <c r="AN8" s="38"/>
      <c r="AO8" s="38"/>
      <c r="AP8" s="38"/>
      <c r="AQ8" s="38"/>
      <c r="AR8" s="38"/>
      <c r="AS8" s="38"/>
      <c r="AT8" s="38"/>
      <c r="AU8" s="38"/>
      <c r="AV8" s="38"/>
      <c r="AW8" s="38"/>
      <c r="AX8" s="38"/>
      <c r="AY8" s="38"/>
    </row>
    <row r="9" spans="1:51" x14ac:dyDescent="0.2">
      <c r="A9" s="33" t="s">
        <v>58</v>
      </c>
      <c r="B9" s="2"/>
      <c r="C9" s="2"/>
      <c r="D9" s="2"/>
      <c r="E9" s="2"/>
      <c r="F9" s="2"/>
      <c r="G9" s="2"/>
      <c r="H9" s="2"/>
      <c r="I9" s="2"/>
      <c r="J9" s="2"/>
      <c r="K9" s="916" t="str">
        <f>IF('MC2'!B4="x",NBR!G167,"")</f>
        <v/>
      </c>
      <c r="L9" s="916"/>
      <c r="M9" s="34"/>
      <c r="P9" s="917">
        <v>0.7</v>
      </c>
      <c r="Q9" s="917"/>
      <c r="R9" s="2"/>
      <c r="S9" s="2"/>
      <c r="T9" s="2"/>
      <c r="U9" s="2"/>
      <c r="V9" s="2"/>
      <c r="W9" s="2"/>
      <c r="X9" s="2"/>
      <c r="Z9" s="34"/>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x14ac:dyDescent="0.2">
      <c r="A10" s="40"/>
      <c r="J10" s="2"/>
      <c r="K10" s="41"/>
      <c r="L10" s="2"/>
      <c r="M10" s="34"/>
      <c r="Y10" s="2"/>
      <c r="Z10" s="34"/>
      <c r="AB10" s="22"/>
      <c r="AC10" s="19"/>
      <c r="AD10" s="19"/>
      <c r="AE10" s="19"/>
      <c r="AF10" s="19"/>
      <c r="AG10" s="19"/>
      <c r="AH10" s="38"/>
      <c r="AI10" s="38"/>
      <c r="AJ10" s="42"/>
      <c r="AK10" s="42"/>
      <c r="AL10" s="42"/>
      <c r="AM10" s="42"/>
      <c r="AN10" s="42"/>
      <c r="AO10" s="42"/>
      <c r="AP10" s="20"/>
      <c r="AQ10" s="20"/>
      <c r="AR10" s="20"/>
      <c r="AS10" s="22"/>
      <c r="AT10" s="22"/>
      <c r="AU10" s="22"/>
      <c r="AV10" s="22"/>
      <c r="AW10" s="22"/>
      <c r="AX10" s="22"/>
      <c r="AY10" s="38"/>
    </row>
    <row r="11" spans="1:51" x14ac:dyDescent="0.2">
      <c r="A11" s="37" t="s">
        <v>59</v>
      </c>
      <c r="B11" s="2"/>
      <c r="C11" s="2"/>
      <c r="D11" s="2"/>
      <c r="E11" s="2"/>
      <c r="F11" s="2"/>
      <c r="G11" s="2"/>
      <c r="H11" s="2"/>
      <c r="I11" s="2"/>
      <c r="J11" s="41"/>
      <c r="K11" s="41"/>
      <c r="L11" s="2"/>
      <c r="M11" s="34"/>
      <c r="N11" s="37" t="s">
        <v>60</v>
      </c>
      <c r="O11" s="2"/>
      <c r="P11" s="2"/>
      <c r="Q11" s="2"/>
      <c r="R11" s="2"/>
      <c r="S11" s="2"/>
      <c r="T11" s="2"/>
      <c r="U11" s="2"/>
      <c r="V11" s="2"/>
      <c r="W11" s="2"/>
      <c r="X11" s="2"/>
      <c r="Z11" s="34"/>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x14ac:dyDescent="0.2">
      <c r="A12" s="33" t="s">
        <v>61</v>
      </c>
      <c r="B12" s="41"/>
      <c r="C12" s="41"/>
      <c r="D12" s="41"/>
      <c r="E12" s="41"/>
      <c r="F12" s="41"/>
      <c r="G12" s="41"/>
      <c r="H12" s="41"/>
      <c r="I12" s="41"/>
      <c r="J12" s="41"/>
      <c r="K12" s="915" t="str">
        <f>IF('MC2'!B4="x",NBR!G164,"")</f>
        <v/>
      </c>
      <c r="L12" s="915"/>
      <c r="M12" s="34"/>
      <c r="N12" s="33" t="s">
        <v>62</v>
      </c>
      <c r="O12" s="41"/>
      <c r="P12" s="41"/>
      <c r="Q12" s="41"/>
      <c r="R12" s="41"/>
      <c r="S12" s="41"/>
      <c r="T12" s="41"/>
      <c r="U12" s="41"/>
      <c r="V12" s="41"/>
      <c r="W12" s="41"/>
      <c r="X12" s="41"/>
      <c r="Y12" s="2"/>
      <c r="Z12" s="34"/>
      <c r="AB12" s="22"/>
      <c r="AC12" s="22"/>
      <c r="AD12" s="22"/>
      <c r="AE12" s="22"/>
      <c r="AF12" s="22"/>
      <c r="AG12" s="22"/>
      <c r="AH12" s="22"/>
      <c r="AI12" s="22"/>
      <c r="AJ12" s="43"/>
      <c r="AK12" s="43"/>
      <c r="AL12" s="43"/>
      <c r="AM12" s="43"/>
      <c r="AN12" s="43"/>
      <c r="AO12" s="43"/>
      <c r="AP12" s="43"/>
      <c r="AQ12" s="43"/>
      <c r="AR12" s="43"/>
      <c r="AS12" s="43"/>
      <c r="AT12" s="43"/>
      <c r="AU12" s="43"/>
      <c r="AV12" s="43"/>
      <c r="AW12" s="43"/>
      <c r="AX12" s="43"/>
      <c r="AY12" s="43"/>
    </row>
    <row r="13" spans="1:51" x14ac:dyDescent="0.2">
      <c r="A13" s="40"/>
      <c r="M13" s="34"/>
      <c r="P13" s="2"/>
      <c r="Q13" s="2"/>
      <c r="R13" s="2"/>
      <c r="S13" s="2"/>
      <c r="T13" s="2"/>
      <c r="U13" s="2"/>
      <c r="V13" s="2"/>
      <c r="W13" s="2"/>
      <c r="X13" s="2"/>
      <c r="Z13" s="34"/>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x14ac:dyDescent="0.2">
      <c r="A14" s="44" t="s">
        <v>63</v>
      </c>
      <c r="B14" s="41"/>
      <c r="C14" s="41"/>
      <c r="D14" s="41"/>
      <c r="E14" s="41"/>
      <c r="F14" s="41"/>
      <c r="G14" s="41"/>
      <c r="H14" s="41"/>
      <c r="I14" s="41"/>
      <c r="J14" s="41"/>
      <c r="K14" s="916"/>
      <c r="L14" s="916"/>
      <c r="M14" s="34"/>
      <c r="P14" s="917">
        <v>40</v>
      </c>
      <c r="Q14" s="917"/>
      <c r="Z14" s="34"/>
      <c r="AB14" s="22"/>
      <c r="AC14" s="22"/>
      <c r="AD14" s="22"/>
      <c r="AE14" s="22"/>
      <c r="AF14" s="22"/>
      <c r="AG14" s="22"/>
      <c r="AH14" s="22"/>
      <c r="AI14" s="43"/>
      <c r="AJ14" s="43"/>
      <c r="AK14" s="43"/>
      <c r="AL14" s="43"/>
      <c r="AM14" s="43"/>
      <c r="AN14" s="43"/>
      <c r="AO14" s="43"/>
      <c r="AP14" s="43"/>
      <c r="AQ14" s="43"/>
      <c r="AR14" s="43"/>
      <c r="AS14" s="43"/>
      <c r="AT14" s="43"/>
      <c r="AU14" s="43"/>
      <c r="AV14" s="43"/>
      <c r="AW14" s="43"/>
      <c r="AX14" s="43"/>
      <c r="AY14" s="43"/>
    </row>
    <row r="15" spans="1:51" ht="13.5" thickBot="1" x14ac:dyDescent="0.25">
      <c r="A15" s="40"/>
      <c r="M15" s="34"/>
      <c r="Z15" s="34"/>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13.5" thickBot="1" x14ac:dyDescent="0.25">
      <c r="A16" s="33" t="s">
        <v>64</v>
      </c>
      <c r="B16" s="41"/>
      <c r="C16" s="41"/>
      <c r="D16" s="41"/>
      <c r="E16" s="41"/>
      <c r="F16" s="41"/>
      <c r="G16" s="41"/>
      <c r="H16" s="41"/>
      <c r="I16" s="41"/>
      <c r="J16" s="2"/>
      <c r="K16" s="918" t="str">
        <f>IF('MC2'!B4="x",NBR!G173,"")</f>
        <v/>
      </c>
      <c r="L16" s="919"/>
      <c r="M16" s="34"/>
      <c r="N16" s="37" t="s">
        <v>65</v>
      </c>
      <c r="O16" s="2"/>
      <c r="P16" s="2"/>
      <c r="Q16" s="2"/>
      <c r="R16" s="2"/>
      <c r="S16" s="2"/>
      <c r="T16" s="2"/>
      <c r="U16" s="2"/>
      <c r="V16" s="2"/>
      <c r="W16" s="2"/>
      <c r="X16" s="2"/>
      <c r="Y16" s="2"/>
      <c r="Z16" s="34"/>
      <c r="AB16" s="22"/>
      <c r="AC16" s="22"/>
      <c r="AD16" s="22"/>
      <c r="AE16" s="22"/>
      <c r="AF16" s="22"/>
      <c r="AG16" s="45"/>
      <c r="AH16" s="45"/>
      <c r="AI16" s="45"/>
      <c r="AJ16" s="45"/>
      <c r="AK16" s="45"/>
      <c r="AL16" s="45"/>
      <c r="AM16" s="45"/>
      <c r="AN16" s="22"/>
      <c r="AO16" s="22"/>
      <c r="AP16" s="22"/>
      <c r="AQ16" s="22"/>
      <c r="AR16" s="22"/>
      <c r="AS16" s="46"/>
      <c r="AT16" s="46"/>
      <c r="AU16" s="46"/>
      <c r="AV16" s="46"/>
      <c r="AW16" s="46"/>
      <c r="AX16" s="46"/>
      <c r="AY16" s="46"/>
    </row>
    <row r="17" spans="1:51" x14ac:dyDescent="0.2">
      <c r="A17" s="40"/>
      <c r="B17" s="2"/>
      <c r="C17" s="2"/>
      <c r="D17" s="2"/>
      <c r="E17" s="2"/>
      <c r="F17" s="2"/>
      <c r="G17" s="2"/>
      <c r="H17" s="2"/>
      <c r="I17" s="2"/>
      <c r="J17" s="2"/>
      <c r="K17" s="2"/>
      <c r="L17" s="2"/>
      <c r="M17" s="34"/>
      <c r="N17" s="33" t="s">
        <v>66</v>
      </c>
      <c r="O17" s="2"/>
      <c r="P17" s="2"/>
      <c r="Q17" s="2"/>
      <c r="R17" s="2"/>
      <c r="S17" s="2"/>
      <c r="T17" s="2"/>
      <c r="U17" s="2"/>
      <c r="V17" s="2"/>
      <c r="W17" s="2"/>
      <c r="X17" s="2"/>
      <c r="Y17" s="2"/>
      <c r="Z17" s="34"/>
      <c r="AB17" s="22"/>
      <c r="AC17" s="22"/>
      <c r="AD17" s="22"/>
      <c r="AE17" s="22"/>
      <c r="AF17" s="22"/>
      <c r="AG17" s="22"/>
      <c r="AH17" s="22"/>
      <c r="AI17" s="47"/>
      <c r="AJ17" s="47"/>
      <c r="AK17" s="47"/>
      <c r="AL17" s="47"/>
      <c r="AM17" s="47"/>
      <c r="AN17" s="22"/>
      <c r="AO17" s="22"/>
      <c r="AP17" s="22"/>
      <c r="AQ17" s="22"/>
      <c r="AR17" s="22"/>
      <c r="AS17" s="38"/>
      <c r="AT17" s="38"/>
      <c r="AU17" s="38"/>
      <c r="AV17" s="38"/>
      <c r="AW17" s="38"/>
      <c r="AX17" s="38"/>
      <c r="AY17" s="38"/>
    </row>
    <row r="18" spans="1:51" ht="13.5" thickBot="1" x14ac:dyDescent="0.25">
      <c r="A18" s="37" t="s">
        <v>67</v>
      </c>
      <c r="B18" s="2"/>
      <c r="C18" s="2"/>
      <c r="D18" s="2"/>
      <c r="E18" s="2"/>
      <c r="F18" s="2"/>
      <c r="G18" s="2"/>
      <c r="H18" s="2"/>
      <c r="I18" s="2"/>
      <c r="J18" s="2"/>
      <c r="K18" s="2"/>
      <c r="L18" s="2"/>
      <c r="M18" s="2"/>
      <c r="N18" s="40"/>
      <c r="P18" s="2"/>
      <c r="Q18" s="2"/>
      <c r="R18" s="2"/>
      <c r="S18" s="2"/>
      <c r="T18" s="2"/>
      <c r="U18" s="2"/>
      <c r="V18" s="2"/>
      <c r="W18" s="2"/>
      <c r="X18" s="2"/>
      <c r="Y18" s="2"/>
      <c r="Z18" s="34"/>
      <c r="AB18" s="22"/>
      <c r="AC18" s="22"/>
      <c r="AD18" s="22"/>
      <c r="AE18" s="22"/>
      <c r="AF18" s="22"/>
      <c r="AG18" s="22"/>
      <c r="AH18" s="22"/>
      <c r="AI18" s="47"/>
      <c r="AJ18" s="47"/>
      <c r="AK18" s="47"/>
      <c r="AL18" s="47"/>
      <c r="AM18" s="47"/>
      <c r="AN18" s="22"/>
      <c r="AO18" s="22"/>
      <c r="AP18" s="22"/>
      <c r="AQ18" s="22"/>
      <c r="AR18" s="22"/>
      <c r="AS18" s="38"/>
      <c r="AT18" s="38"/>
      <c r="AU18" s="38"/>
      <c r="AV18" s="38"/>
      <c r="AW18" s="38"/>
      <c r="AX18" s="38"/>
      <c r="AY18" s="38"/>
    </row>
    <row r="19" spans="1:51" ht="13.5" thickBot="1" x14ac:dyDescent="0.25">
      <c r="A19" s="33" t="s">
        <v>68</v>
      </c>
      <c r="B19" s="2"/>
      <c r="C19" s="2"/>
      <c r="D19" s="2"/>
      <c r="E19" s="2"/>
      <c r="F19" s="2"/>
      <c r="G19" s="2"/>
      <c r="H19" s="2"/>
      <c r="I19" s="2"/>
      <c r="J19" s="2"/>
      <c r="K19" s="918" t="str">
        <f>IF('MC2'!B4="x",NBR!J161,"")</f>
        <v/>
      </c>
      <c r="L19" s="919"/>
      <c r="M19" s="2"/>
      <c r="N19" s="40"/>
      <c r="P19" s="917">
        <v>54.33</v>
      </c>
      <c r="Q19" s="917"/>
      <c r="R19" s="2"/>
      <c r="S19" s="2"/>
      <c r="T19" s="2"/>
      <c r="U19" s="2"/>
      <c r="V19" s="2"/>
      <c r="W19" s="2"/>
      <c r="X19" s="2"/>
      <c r="Y19" s="2"/>
      <c r="Z19" s="34"/>
      <c r="AB19" s="22"/>
      <c r="AC19" s="22"/>
      <c r="AD19" s="22"/>
      <c r="AE19" s="22"/>
      <c r="AF19" s="22"/>
      <c r="AG19" s="22"/>
      <c r="AH19" s="22"/>
      <c r="AI19" s="47"/>
      <c r="AJ19" s="47"/>
      <c r="AK19" s="47"/>
      <c r="AL19" s="47"/>
      <c r="AM19" s="47"/>
      <c r="AN19" s="22"/>
      <c r="AO19" s="22"/>
      <c r="AP19" s="22"/>
      <c r="AQ19" s="22"/>
      <c r="AR19" s="22"/>
      <c r="AS19" s="38"/>
      <c r="AT19" s="38"/>
      <c r="AU19" s="38"/>
      <c r="AV19" s="38"/>
      <c r="AW19" s="38"/>
      <c r="AX19" s="38"/>
      <c r="AY19" s="38"/>
    </row>
    <row r="20" spans="1:51" ht="12" customHeight="1" thickBot="1" x14ac:dyDescent="0.25">
      <c r="A20" s="33"/>
      <c r="B20" s="2"/>
      <c r="C20" s="2"/>
      <c r="D20" s="2"/>
      <c r="E20" s="2"/>
      <c r="F20" s="2"/>
      <c r="G20" s="2"/>
      <c r="H20" s="2"/>
      <c r="I20" s="2"/>
      <c r="J20" s="2"/>
      <c r="K20" s="48"/>
      <c r="L20" s="48"/>
      <c r="M20" s="2"/>
      <c r="N20" s="49"/>
      <c r="P20" s="2"/>
      <c r="Q20" s="2"/>
      <c r="R20" s="2"/>
      <c r="S20" s="2"/>
      <c r="T20" s="2"/>
      <c r="U20" s="2"/>
      <c r="V20" s="2"/>
      <c r="W20" s="2"/>
      <c r="X20" s="2"/>
      <c r="Y20" s="2"/>
      <c r="Z20" s="34"/>
      <c r="AB20" s="22"/>
      <c r="AC20" s="22"/>
      <c r="AD20" s="22"/>
      <c r="AE20" s="22"/>
      <c r="AF20" s="22"/>
      <c r="AG20" s="22"/>
      <c r="AH20" s="22"/>
      <c r="AI20" s="47"/>
      <c r="AJ20" s="47"/>
      <c r="AK20" s="47"/>
      <c r="AL20" s="47"/>
      <c r="AM20" s="47"/>
      <c r="AN20" s="22"/>
      <c r="AO20" s="22"/>
      <c r="AP20" s="22"/>
      <c r="AQ20" s="22"/>
      <c r="AR20" s="22"/>
      <c r="AS20" s="38"/>
      <c r="AT20" s="38"/>
      <c r="AU20" s="38"/>
      <c r="AV20" s="38"/>
      <c r="AW20" s="38"/>
      <c r="AX20" s="38"/>
      <c r="AY20" s="38"/>
    </row>
    <row r="21" spans="1:51" ht="14.45" customHeight="1" thickBot="1" x14ac:dyDescent="0.25">
      <c r="A21" s="774" t="s">
        <v>810</v>
      </c>
      <c r="B21" s="775"/>
      <c r="C21" s="775"/>
      <c r="D21" s="775"/>
      <c r="E21" s="775"/>
      <c r="F21" s="775"/>
      <c r="G21" s="775"/>
      <c r="H21" s="775"/>
      <c r="I21" s="775"/>
      <c r="J21" s="775"/>
      <c r="K21" s="775"/>
      <c r="L21" s="775"/>
      <c r="M21" s="775"/>
      <c r="N21" s="775"/>
      <c r="O21" s="775"/>
      <c r="P21" s="775"/>
      <c r="Q21" s="775"/>
      <c r="R21" s="775"/>
      <c r="S21" s="775"/>
      <c r="T21" s="775"/>
      <c r="U21" s="775"/>
      <c r="V21" s="775"/>
      <c r="W21" s="775"/>
      <c r="X21" s="775"/>
      <c r="Y21" s="775"/>
      <c r="Z21" s="776"/>
      <c r="AA21" s="502"/>
      <c r="AB21" s="502"/>
      <c r="AC21" s="47"/>
      <c r="AD21" s="47"/>
      <c r="AE21" s="47"/>
      <c r="AF21" s="22"/>
      <c r="AG21" s="22"/>
      <c r="AH21" s="22"/>
      <c r="AI21" s="22"/>
      <c r="AJ21" s="22"/>
      <c r="AK21" s="38"/>
      <c r="AL21" s="38"/>
      <c r="AM21" s="38"/>
      <c r="AN21" s="38"/>
      <c r="AO21" s="38"/>
      <c r="AP21" s="38"/>
      <c r="AQ21" s="38"/>
    </row>
    <row r="22" spans="1:51" ht="13.5" thickBot="1" x14ac:dyDescent="0.25">
      <c r="A22" s="519" t="s">
        <v>69</v>
      </c>
      <c r="B22" s="2"/>
      <c r="C22" s="2"/>
      <c r="D22" s="2"/>
      <c r="E22" s="2"/>
      <c r="F22" s="2"/>
      <c r="G22" s="2"/>
      <c r="H22" s="917">
        <v>9.4700000000000006</v>
      </c>
      <c r="I22" s="917"/>
      <c r="J22" s="2"/>
      <c r="K22" s="2"/>
      <c r="L22" s="2"/>
      <c r="M22" s="2"/>
      <c r="N22" s="2"/>
      <c r="O22" s="2"/>
      <c r="P22" s="2"/>
      <c r="Q22" s="2"/>
      <c r="R22" s="2"/>
      <c r="S22" s="2"/>
      <c r="T22" s="2"/>
      <c r="U22" s="2"/>
      <c r="V22" s="2"/>
      <c r="W22" s="2"/>
      <c r="X22" s="2"/>
      <c r="Y22" s="2"/>
      <c r="Z22" s="520"/>
      <c r="AA22" s="502"/>
      <c r="AB22" s="502"/>
      <c r="AC22" s="47"/>
      <c r="AD22" s="47"/>
      <c r="AE22" s="47"/>
      <c r="AF22" s="22"/>
      <c r="AG22" s="22"/>
      <c r="AH22" s="22"/>
      <c r="AI22" s="22"/>
      <c r="AJ22" s="22"/>
      <c r="AK22" s="38"/>
      <c r="AL22" s="38"/>
      <c r="AM22" s="38"/>
      <c r="AN22" s="38"/>
      <c r="AO22" s="38"/>
      <c r="AP22" s="38"/>
      <c r="AQ22" s="38"/>
    </row>
    <row r="23" spans="1:51" ht="3" customHeight="1" thickBot="1" x14ac:dyDescent="0.25">
      <c r="A23" s="519"/>
      <c r="B23" s="2"/>
      <c r="C23" s="2"/>
      <c r="D23" s="2"/>
      <c r="E23" s="2"/>
      <c r="F23" s="2"/>
      <c r="G23" s="2"/>
      <c r="H23" s="514"/>
      <c r="I23" s="514"/>
      <c r="J23" s="2"/>
      <c r="K23" s="2"/>
      <c r="L23" s="2"/>
      <c r="M23" s="2"/>
      <c r="N23" s="2"/>
      <c r="O23" s="2"/>
      <c r="P23" s="2"/>
      <c r="Q23" s="2"/>
      <c r="R23" s="2"/>
      <c r="S23" s="2"/>
      <c r="T23" s="2"/>
      <c r="U23" s="2"/>
      <c r="V23" s="2"/>
      <c r="W23" s="2"/>
      <c r="X23" s="2"/>
      <c r="Y23" s="2"/>
      <c r="Z23" s="521"/>
      <c r="AA23" s="502"/>
      <c r="AB23" s="502"/>
      <c r="AC23" s="47"/>
      <c r="AD23" s="47"/>
      <c r="AE23" s="47"/>
      <c r="AF23" s="22"/>
      <c r="AG23" s="22"/>
      <c r="AH23" s="22"/>
      <c r="AI23" s="22"/>
      <c r="AJ23" s="22"/>
      <c r="AK23" s="38"/>
      <c r="AL23" s="38"/>
      <c r="AM23" s="38"/>
      <c r="AN23" s="38"/>
      <c r="AO23" s="38"/>
      <c r="AP23" s="38"/>
      <c r="AQ23" s="38"/>
    </row>
    <row r="24" spans="1:51" ht="13.5" thickBot="1" x14ac:dyDescent="0.25">
      <c r="A24" s="519" t="s">
        <v>70</v>
      </c>
      <c r="B24" s="51"/>
      <c r="C24" s="51"/>
      <c r="D24" s="2"/>
      <c r="E24" s="2"/>
      <c r="F24" s="924" t="s">
        <v>71</v>
      </c>
      <c r="G24" s="924"/>
      <c r="H24" s="924"/>
      <c r="I24" s="924"/>
      <c r="J24" s="924"/>
      <c r="K24" s="2"/>
      <c r="L24" s="925">
        <v>10</v>
      </c>
      <c r="M24" s="925"/>
      <c r="N24" s="2"/>
      <c r="O24" s="924" t="s">
        <v>785</v>
      </c>
      <c r="P24" s="924"/>
      <c r="Q24" s="924"/>
      <c r="R24" s="924"/>
      <c r="S24" s="924"/>
      <c r="T24" s="924"/>
      <c r="U24" s="924"/>
      <c r="V24" s="926"/>
      <c r="W24" s="927">
        <v>58</v>
      </c>
      <c r="X24" s="928"/>
      <c r="Y24" s="2"/>
      <c r="Z24" s="521"/>
      <c r="AA24" s="502"/>
      <c r="AB24" s="502"/>
      <c r="AC24" s="47"/>
      <c r="AD24" s="47"/>
      <c r="AE24" s="47"/>
      <c r="AF24" s="22"/>
      <c r="AG24" s="22"/>
      <c r="AH24" s="22"/>
      <c r="AI24" s="22"/>
      <c r="AJ24" s="22"/>
      <c r="AK24" s="38"/>
      <c r="AL24" s="38"/>
      <c r="AM24" s="38"/>
      <c r="AN24" s="38"/>
      <c r="AO24" s="38"/>
      <c r="AP24" s="38"/>
      <c r="AQ24" s="38"/>
    </row>
    <row r="25" spans="1:51" ht="13.5" thickBot="1" x14ac:dyDescent="0.25">
      <c r="A25" s="519"/>
      <c r="B25" s="51"/>
      <c r="C25" s="51"/>
      <c r="D25" s="2"/>
      <c r="E25" s="2"/>
      <c r="F25" s="924" t="s">
        <v>786</v>
      </c>
      <c r="G25" s="924"/>
      <c r="H25" s="924"/>
      <c r="I25" s="924"/>
      <c r="J25" s="924"/>
      <c r="K25" s="2"/>
      <c r="L25" s="927">
        <v>161</v>
      </c>
      <c r="M25" s="928"/>
      <c r="N25" s="2"/>
      <c r="O25" s="924" t="s">
        <v>72</v>
      </c>
      <c r="P25" s="924"/>
      <c r="Q25" s="924"/>
      <c r="R25" s="924"/>
      <c r="S25" s="924"/>
      <c r="T25" s="924"/>
      <c r="U25" s="924"/>
      <c r="V25" s="41"/>
      <c r="W25" s="927">
        <v>24</v>
      </c>
      <c r="X25" s="928"/>
      <c r="Y25" s="2"/>
      <c r="Z25" s="521"/>
      <c r="AA25" s="502"/>
      <c r="AB25" s="502"/>
      <c r="AC25" s="47"/>
      <c r="AD25" s="47"/>
      <c r="AE25" s="47"/>
      <c r="AF25" s="22"/>
      <c r="AG25" s="22"/>
      <c r="AH25" s="22"/>
      <c r="AI25" s="22"/>
      <c r="AJ25" s="22"/>
      <c r="AK25" s="38"/>
      <c r="AL25" s="38"/>
      <c r="AM25" s="38"/>
      <c r="AN25" s="38"/>
      <c r="AO25" s="38"/>
      <c r="AP25" s="38"/>
      <c r="AQ25" s="38"/>
    </row>
    <row r="26" spans="1:51" ht="13.5" thickBot="1" x14ac:dyDescent="0.25">
      <c r="A26" s="519"/>
      <c r="B26" s="2"/>
      <c r="C26" s="2"/>
      <c r="D26" s="2"/>
      <c r="E26" s="2"/>
      <c r="F26" s="924" t="s">
        <v>787</v>
      </c>
      <c r="G26" s="924"/>
      <c r="H26" s="931" t="s">
        <v>814</v>
      </c>
      <c r="I26" s="931"/>
      <c r="J26" s="931"/>
      <c r="K26" s="931"/>
      <c r="L26" s="931"/>
      <c r="M26" s="931"/>
      <c r="N26" s="931"/>
      <c r="O26" s="931"/>
      <c r="P26" s="931"/>
      <c r="Q26" s="931"/>
      <c r="R26" s="931"/>
      <c r="S26" s="931"/>
      <c r="T26" s="931"/>
      <c r="U26" s="931"/>
      <c r="V26" s="931"/>
      <c r="W26" s="931"/>
      <c r="X26" s="931"/>
      <c r="Y26" s="931"/>
      <c r="Z26" s="932"/>
      <c r="AA26" s="502"/>
      <c r="AB26" s="502"/>
      <c r="AC26" s="47"/>
      <c r="AD26" s="47"/>
      <c r="AE26" s="47"/>
      <c r="AF26" s="22"/>
      <c r="AG26" s="22"/>
      <c r="AH26" s="22"/>
      <c r="AI26" s="22"/>
      <c r="AJ26" s="22"/>
      <c r="AK26" s="38"/>
      <c r="AL26" s="38"/>
      <c r="AM26" s="38"/>
      <c r="AN26" s="38"/>
      <c r="AO26" s="38"/>
      <c r="AP26" s="38"/>
      <c r="AQ26" s="38"/>
    </row>
    <row r="27" spans="1:51" ht="15" customHeight="1" thickBot="1" x14ac:dyDescent="0.25">
      <c r="A27" s="774" t="s">
        <v>73</v>
      </c>
      <c r="B27" s="775"/>
      <c r="C27" s="775"/>
      <c r="D27" s="775"/>
      <c r="E27" s="775"/>
      <c r="F27" s="775"/>
      <c r="G27" s="775"/>
      <c r="H27" s="775"/>
      <c r="I27" s="775"/>
      <c r="J27" s="775"/>
      <c r="K27" s="775"/>
      <c r="L27" s="775"/>
      <c r="M27" s="775"/>
      <c r="N27" s="775"/>
      <c r="O27" s="775"/>
      <c r="P27" s="775"/>
      <c r="Q27" s="775"/>
      <c r="R27" s="775"/>
      <c r="S27" s="775"/>
      <c r="T27" s="775"/>
      <c r="U27" s="775"/>
      <c r="V27" s="775"/>
      <c r="W27" s="775"/>
      <c r="X27" s="775"/>
      <c r="Y27" s="775"/>
      <c r="Z27" s="776"/>
      <c r="AA27" s="502"/>
      <c r="AB27" s="502"/>
      <c r="AC27" s="2"/>
      <c r="AD27" s="2"/>
      <c r="AE27" s="2"/>
      <c r="AF27" s="2"/>
      <c r="AG27" s="2"/>
      <c r="AH27" s="2"/>
      <c r="AI27" s="2"/>
      <c r="AJ27" s="2"/>
      <c r="AK27" s="2"/>
      <c r="AL27" s="2"/>
    </row>
    <row r="28" spans="1:51" ht="13.5" thickBot="1" x14ac:dyDescent="0.25">
      <c r="A28" s="938" t="s">
        <v>74</v>
      </c>
      <c r="B28" s="939"/>
      <c r="C28" s="939"/>
      <c r="D28" s="939"/>
      <c r="E28" s="939"/>
      <c r="F28" s="939"/>
      <c r="G28" s="939"/>
      <c r="H28" s="939"/>
      <c r="I28" s="11" t="s">
        <v>7</v>
      </c>
      <c r="J28" s="522" t="s">
        <v>76</v>
      </c>
      <c r="K28" s="504"/>
      <c r="L28" s="11" t="str">
        <f>IF(I28="X"," ","X")</f>
        <v xml:space="preserve"> </v>
      </c>
      <c r="M28" s="522" t="s">
        <v>75</v>
      </c>
      <c r="N28" s="523"/>
      <c r="O28" s="504"/>
      <c r="P28" s="504"/>
      <c r="Q28" s="504"/>
      <c r="R28" s="504"/>
      <c r="S28" s="504"/>
      <c r="T28" s="504"/>
      <c r="U28" s="504"/>
      <c r="V28" s="504"/>
      <c r="W28" s="522"/>
      <c r="X28" s="504"/>
      <c r="Y28" s="504"/>
      <c r="Z28" s="524"/>
      <c r="AA28" s="502"/>
      <c r="AB28" s="502"/>
      <c r="AC28" s="2"/>
      <c r="AD28" s="2"/>
      <c r="AE28" s="2"/>
      <c r="AF28" s="2"/>
      <c r="AG28" s="2"/>
      <c r="AH28" s="2"/>
      <c r="AI28" s="2"/>
      <c r="AJ28" s="2"/>
      <c r="AK28" s="2"/>
      <c r="AL28" s="2"/>
    </row>
    <row r="29" spans="1:51" ht="3" customHeight="1" thickBot="1" x14ac:dyDescent="0.25">
      <c r="A29" s="518"/>
      <c r="B29" s="35"/>
      <c r="C29" s="35"/>
      <c r="D29" s="35"/>
      <c r="E29" s="35"/>
      <c r="F29" s="35"/>
      <c r="G29" s="35"/>
      <c r="H29" s="35"/>
      <c r="I29" s="504"/>
      <c r="J29" s="522"/>
      <c r="K29" s="504"/>
      <c r="L29" s="504"/>
      <c r="M29" s="522"/>
      <c r="N29" s="523"/>
      <c r="O29" s="504"/>
      <c r="P29" s="504"/>
      <c r="Q29" s="504"/>
      <c r="R29" s="504"/>
      <c r="S29" s="504"/>
      <c r="T29" s="504"/>
      <c r="U29" s="504"/>
      <c r="V29" s="504"/>
      <c r="W29" s="522"/>
      <c r="X29" s="504"/>
      <c r="Y29" s="504"/>
      <c r="Z29" s="524"/>
      <c r="AA29" s="502"/>
      <c r="AB29" s="502"/>
      <c r="AC29" s="2"/>
      <c r="AD29" s="2"/>
      <c r="AE29" s="2"/>
      <c r="AF29" s="2"/>
      <c r="AG29" s="2"/>
      <c r="AH29" s="2"/>
      <c r="AI29" s="2"/>
      <c r="AJ29" s="2"/>
      <c r="AK29" s="2"/>
      <c r="AL29" s="2"/>
    </row>
    <row r="30" spans="1:51" ht="13.5" thickBot="1" x14ac:dyDescent="0.25">
      <c r="A30" s="794" t="s">
        <v>788</v>
      </c>
      <c r="B30" s="924"/>
      <c r="C30" s="924"/>
      <c r="D30" s="924"/>
      <c r="E30" s="924"/>
      <c r="F30" s="924" t="s">
        <v>71</v>
      </c>
      <c r="G30" s="924"/>
      <c r="H30" s="924"/>
      <c r="I30" s="924"/>
      <c r="J30" s="924"/>
      <c r="K30" s="2"/>
      <c r="L30" s="929">
        <f>IF(I28="X",IF(B4="X",NBR!J177,IT!J182),"")</f>
        <v>2</v>
      </c>
      <c r="M30" s="930"/>
      <c r="N30" s="2"/>
      <c r="O30" s="525" t="s">
        <v>72</v>
      </c>
      <c r="P30" s="525"/>
      <c r="Q30" s="525"/>
      <c r="R30" s="525"/>
      <c r="S30" s="929">
        <f>IF(I28="X",1.2,"")</f>
        <v>1.2</v>
      </c>
      <c r="T30" s="930"/>
      <c r="U30" s="525"/>
      <c r="V30" s="2"/>
      <c r="W30" s="2"/>
      <c r="X30" s="2"/>
      <c r="Y30" s="2"/>
      <c r="Z30" s="521"/>
      <c r="AA30" s="502"/>
      <c r="AB30" s="502"/>
      <c r="AC30" s="2"/>
      <c r="AD30" s="2"/>
      <c r="AE30" s="2"/>
      <c r="AF30" s="2"/>
      <c r="AG30" s="2"/>
      <c r="AH30" s="2"/>
      <c r="AI30" s="2"/>
      <c r="AJ30" s="2"/>
      <c r="AK30" s="2"/>
      <c r="AL30" s="2"/>
    </row>
    <row r="31" spans="1:51" ht="13.5" thickBot="1" x14ac:dyDescent="0.25">
      <c r="A31" s="519"/>
      <c r="B31" s="51"/>
      <c r="C31" s="51"/>
      <c r="D31" s="2"/>
      <c r="E31" s="2"/>
      <c r="F31" s="924" t="s">
        <v>786</v>
      </c>
      <c r="G31" s="924"/>
      <c r="H31" s="924"/>
      <c r="I31" s="924"/>
      <c r="J31" s="924"/>
      <c r="K31" s="2"/>
      <c r="L31" s="933">
        <v>120</v>
      </c>
      <c r="M31" s="934"/>
      <c r="N31" s="2"/>
      <c r="O31" s="924" t="s">
        <v>787</v>
      </c>
      <c r="P31" s="924"/>
      <c r="Q31" s="924"/>
      <c r="R31" s="935" t="s">
        <v>815</v>
      </c>
      <c r="S31" s="935"/>
      <c r="T31" s="935"/>
      <c r="U31" s="935"/>
      <c r="V31" s="935"/>
      <c r="W31" s="935"/>
      <c r="X31" s="935"/>
      <c r="Y31" s="935"/>
      <c r="Z31" s="936"/>
      <c r="AA31" s="502"/>
      <c r="AB31" s="502"/>
      <c r="AC31" s="2"/>
      <c r="AD31" s="2"/>
      <c r="AE31" s="2"/>
      <c r="AF31" s="2"/>
      <c r="AG31" s="2"/>
      <c r="AH31" s="2"/>
      <c r="AI31" s="2"/>
      <c r="AJ31" s="2"/>
      <c r="AK31" s="2"/>
      <c r="AL31" s="2"/>
    </row>
    <row r="32" spans="1:51" ht="16.149999999999999" customHeight="1" thickBot="1" x14ac:dyDescent="0.25">
      <c r="A32" s="774" t="s">
        <v>77</v>
      </c>
      <c r="B32" s="775"/>
      <c r="C32" s="775"/>
      <c r="D32" s="775"/>
      <c r="E32" s="775"/>
      <c r="F32" s="775"/>
      <c r="G32" s="775"/>
      <c r="H32" s="775"/>
      <c r="I32" s="775"/>
      <c r="J32" s="775"/>
      <c r="K32" s="775"/>
      <c r="L32" s="775"/>
      <c r="M32" s="775"/>
      <c r="N32" s="775"/>
      <c r="O32" s="775"/>
      <c r="P32" s="775"/>
      <c r="Q32" s="775"/>
      <c r="R32" s="775"/>
      <c r="S32" s="775"/>
      <c r="T32" s="775"/>
      <c r="U32" s="775"/>
      <c r="V32" s="775"/>
      <c r="W32" s="775"/>
      <c r="X32" s="775"/>
      <c r="Y32" s="775"/>
      <c r="Z32" s="776"/>
    </row>
    <row r="33" spans="1:42" ht="13.35" customHeight="1" thickBot="1" x14ac:dyDescent="0.25">
      <c r="A33" s="913" t="s">
        <v>78</v>
      </c>
      <c r="B33" s="913"/>
      <c r="C33" s="914" t="s">
        <v>79</v>
      </c>
      <c r="D33" s="914"/>
      <c r="E33" s="914"/>
      <c r="F33" s="914"/>
      <c r="G33" s="914"/>
      <c r="H33" s="914"/>
      <c r="I33" s="914"/>
      <c r="J33" s="914"/>
      <c r="K33" s="914"/>
      <c r="L33" s="914"/>
      <c r="M33" s="914"/>
      <c r="N33" s="914"/>
      <c r="O33" s="914"/>
      <c r="P33" s="914"/>
      <c r="Q33" s="914"/>
      <c r="R33" s="914"/>
      <c r="S33" s="914"/>
      <c r="T33" s="914"/>
      <c r="U33" s="914"/>
      <c r="V33" s="914"/>
      <c r="W33" s="914"/>
      <c r="X33" s="914"/>
      <c r="Y33" s="914"/>
      <c r="Z33" s="52"/>
    </row>
    <row r="34" spans="1:42" ht="15.6" customHeight="1" thickBot="1" x14ac:dyDescent="0.25">
      <c r="A34" s="774" t="s">
        <v>80</v>
      </c>
      <c r="B34" s="775"/>
      <c r="C34" s="775"/>
      <c r="D34" s="775"/>
      <c r="E34" s="775"/>
      <c r="F34" s="775"/>
      <c r="G34" s="775"/>
      <c r="H34" s="775"/>
      <c r="I34" s="775"/>
      <c r="J34" s="775"/>
      <c r="K34" s="775"/>
      <c r="L34" s="775"/>
      <c r="M34" s="775"/>
      <c r="N34" s="775"/>
      <c r="O34" s="775"/>
      <c r="P34" s="775"/>
      <c r="Q34" s="775"/>
      <c r="R34" s="775"/>
      <c r="S34" s="775"/>
      <c r="T34" s="775"/>
      <c r="U34" s="775"/>
      <c r="V34" s="775"/>
      <c r="W34" s="775"/>
      <c r="X34" s="775"/>
      <c r="Y34" s="775"/>
      <c r="Z34" s="776"/>
    </row>
    <row r="35" spans="1:42" x14ac:dyDescent="0.2">
      <c r="A35" s="905" t="s">
        <v>81</v>
      </c>
      <c r="B35" s="905"/>
      <c r="C35" s="905"/>
      <c r="D35" s="12" t="s">
        <v>82</v>
      </c>
      <c r="E35" s="12"/>
      <c r="F35" s="12"/>
      <c r="G35" s="12"/>
      <c r="H35" s="478"/>
      <c r="I35" s="479"/>
      <c r="J35" s="479"/>
      <c r="K35" s="906" t="s">
        <v>816</v>
      </c>
      <c r="L35" s="906"/>
      <c r="M35" s="906"/>
      <c r="N35" s="906"/>
      <c r="O35" s="906"/>
      <c r="P35" s="906"/>
      <c r="Q35" s="906"/>
      <c r="R35" s="906"/>
      <c r="S35" s="906"/>
      <c r="T35" s="906"/>
      <c r="U35" s="906"/>
      <c r="V35" s="906"/>
      <c r="W35" s="906"/>
      <c r="X35" s="906"/>
      <c r="Y35" s="906"/>
      <c r="Z35" s="906"/>
      <c r="AB35" s="53"/>
    </row>
    <row r="36" spans="1:42" x14ac:dyDescent="0.2">
      <c r="A36" s="907" t="s">
        <v>10</v>
      </c>
      <c r="B36" s="907"/>
      <c r="C36" s="907"/>
      <c r="D36" s="908" t="s">
        <v>83</v>
      </c>
      <c r="E36" s="908"/>
      <c r="F36" s="908"/>
      <c r="G36" s="908"/>
      <c r="H36" s="908"/>
      <c r="I36" s="908"/>
      <c r="J36" s="908"/>
      <c r="K36" s="908"/>
      <c r="L36" s="908"/>
      <c r="M36" s="909" t="s">
        <v>730</v>
      </c>
      <c r="N36" s="909"/>
      <c r="O36" s="909"/>
      <c r="P36" s="909"/>
      <c r="Q36" s="909"/>
      <c r="R36" s="909"/>
      <c r="S36" s="909"/>
      <c r="T36" s="909"/>
      <c r="U36" s="909"/>
      <c r="V36" s="909"/>
      <c r="W36" s="909"/>
      <c r="X36" s="909"/>
      <c r="Y36" s="909"/>
      <c r="Z36" s="909"/>
      <c r="AC36" s="492"/>
      <c r="AD36" s="492"/>
      <c r="AE36" s="492"/>
      <c r="AF36" s="492"/>
      <c r="AG36" s="492"/>
      <c r="AH36" s="492"/>
      <c r="AI36" s="492"/>
      <c r="AJ36" s="492"/>
      <c r="AK36" s="492"/>
      <c r="AL36" s="492"/>
      <c r="AM36" s="492"/>
      <c r="AN36" s="492"/>
      <c r="AO36" s="492"/>
      <c r="AP36" s="493"/>
    </row>
    <row r="37" spans="1:42" ht="13.5" thickBot="1" x14ac:dyDescent="0.25">
      <c r="A37" s="910" t="s">
        <v>10</v>
      </c>
      <c r="B37" s="910"/>
      <c r="C37" s="910"/>
      <c r="D37" s="911" t="s">
        <v>84</v>
      </c>
      <c r="E37" s="911"/>
      <c r="F37" s="911"/>
      <c r="G37" s="911"/>
      <c r="H37" s="911"/>
      <c r="I37" s="911"/>
      <c r="J37" s="911"/>
      <c r="K37" s="912" t="s">
        <v>817</v>
      </c>
      <c r="L37" s="912"/>
      <c r="M37" s="912"/>
      <c r="N37" s="912"/>
      <c r="O37" s="912"/>
      <c r="P37" s="912"/>
      <c r="Q37" s="912"/>
      <c r="R37" s="912"/>
      <c r="S37" s="912"/>
      <c r="T37" s="912"/>
      <c r="U37" s="912"/>
      <c r="V37" s="912"/>
      <c r="W37" s="912"/>
      <c r="X37" s="912"/>
      <c r="Y37" s="912"/>
      <c r="Z37" s="912"/>
    </row>
    <row r="38" spans="1:42" ht="13.5" thickBot="1" x14ac:dyDescent="0.25">
      <c r="A38" s="774" t="s">
        <v>85</v>
      </c>
      <c r="B38" s="775"/>
      <c r="C38" s="775"/>
      <c r="D38" s="775"/>
      <c r="E38" s="775"/>
      <c r="F38" s="775"/>
      <c r="G38" s="775"/>
      <c r="H38" s="775"/>
      <c r="I38" s="775"/>
      <c r="J38" s="775"/>
      <c r="K38" s="775"/>
      <c r="L38" s="775"/>
      <c r="M38" s="775"/>
      <c r="N38" s="775"/>
      <c r="O38" s="775"/>
      <c r="P38" s="775"/>
      <c r="Q38" s="775"/>
      <c r="R38" s="775"/>
      <c r="S38" s="775"/>
      <c r="T38" s="775"/>
      <c r="U38" s="775"/>
      <c r="V38" s="775"/>
      <c r="W38" s="775"/>
      <c r="X38" s="775"/>
      <c r="Y38" s="775"/>
      <c r="Z38" s="776"/>
    </row>
    <row r="39" spans="1:42" ht="13.5" thickBot="1" x14ac:dyDescent="0.25">
      <c r="A39" s="904" t="s">
        <v>86</v>
      </c>
      <c r="B39" s="904"/>
      <c r="C39" s="904"/>
      <c r="D39" s="904"/>
      <c r="E39" s="903" t="str">
        <f>IF(I28="X",M36,"")</f>
        <v>Manômetro e Pressostato</v>
      </c>
      <c r="F39" s="903"/>
      <c r="G39" s="903"/>
      <c r="H39" s="903"/>
      <c r="I39" s="903"/>
      <c r="J39" s="903"/>
      <c r="K39" s="903"/>
      <c r="L39" s="903"/>
      <c r="M39" s="903"/>
      <c r="N39" s="903"/>
      <c r="O39" s="903"/>
      <c r="P39" s="903"/>
      <c r="Q39" s="903"/>
      <c r="R39" s="903"/>
      <c r="S39" s="903"/>
      <c r="T39" s="903"/>
      <c r="U39" s="903"/>
      <c r="V39" s="903"/>
      <c r="W39" s="903"/>
      <c r="X39" s="903"/>
      <c r="Y39" s="903"/>
      <c r="Z39" s="903"/>
    </row>
    <row r="40" spans="1:42" ht="13.5" thickBot="1" x14ac:dyDescent="0.25">
      <c r="A40" s="774" t="s">
        <v>88</v>
      </c>
      <c r="B40" s="775"/>
      <c r="C40" s="775"/>
      <c r="D40" s="775"/>
      <c r="E40" s="775"/>
      <c r="F40" s="775"/>
      <c r="G40" s="775"/>
      <c r="H40" s="775"/>
      <c r="I40" s="775"/>
      <c r="J40" s="775"/>
      <c r="K40" s="775"/>
      <c r="L40" s="775"/>
      <c r="M40" s="775"/>
      <c r="N40" s="775"/>
      <c r="O40" s="775"/>
      <c r="P40" s="775"/>
      <c r="Q40" s="775"/>
      <c r="R40" s="775"/>
      <c r="S40" s="775"/>
      <c r="T40" s="775"/>
      <c r="U40" s="775"/>
      <c r="V40" s="775"/>
      <c r="W40" s="775"/>
      <c r="X40" s="775"/>
      <c r="Y40" s="775"/>
      <c r="Z40" s="776"/>
    </row>
    <row r="41" spans="1:42" x14ac:dyDescent="0.2">
      <c r="A41" s="905" t="s">
        <v>89</v>
      </c>
      <c r="B41" s="905"/>
      <c r="C41" s="905"/>
      <c r="D41" s="906" t="s">
        <v>730</v>
      </c>
      <c r="E41" s="906"/>
      <c r="F41" s="906"/>
      <c r="G41" s="906"/>
      <c r="H41" s="906"/>
      <c r="I41" s="906"/>
      <c r="J41" s="906"/>
      <c r="K41" s="906"/>
      <c r="L41" s="906"/>
      <c r="M41" s="906"/>
      <c r="N41" s="906"/>
      <c r="O41" s="906"/>
      <c r="P41" s="906"/>
      <c r="Q41" s="906"/>
      <c r="R41" s="906"/>
      <c r="S41" s="906"/>
      <c r="T41" s="906"/>
      <c r="U41" s="906"/>
      <c r="V41" s="906"/>
      <c r="W41" s="906"/>
      <c r="X41" s="906"/>
      <c r="Y41" s="906"/>
      <c r="Z41" s="906"/>
    </row>
    <row r="42" spans="1:42" ht="13.5" thickBot="1" x14ac:dyDescent="0.25">
      <c r="A42" s="899" t="s">
        <v>90</v>
      </c>
      <c r="B42" s="900"/>
      <c r="C42" s="900"/>
      <c r="D42" s="900"/>
      <c r="E42" s="901" t="s">
        <v>818</v>
      </c>
      <c r="F42" s="901"/>
      <c r="G42" s="901"/>
      <c r="H42" s="901"/>
      <c r="I42" s="901"/>
      <c r="J42" s="901"/>
      <c r="K42" s="901"/>
      <c r="L42" s="901"/>
      <c r="M42" s="901"/>
      <c r="N42" s="901"/>
      <c r="O42" s="901"/>
      <c r="P42" s="901"/>
      <c r="Q42" s="901"/>
      <c r="R42" s="901"/>
      <c r="S42" s="901"/>
      <c r="T42" s="901"/>
      <c r="U42" s="901"/>
      <c r="V42" s="901"/>
      <c r="W42" s="901"/>
      <c r="X42" s="901"/>
      <c r="Y42" s="901"/>
      <c r="Z42" s="901"/>
    </row>
    <row r="43" spans="1:42" ht="13.5" thickBot="1" x14ac:dyDescent="0.25">
      <c r="A43" s="774" t="s">
        <v>91</v>
      </c>
      <c r="B43" s="775"/>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6"/>
    </row>
    <row r="44" spans="1:42" ht="13.5" thickBot="1" x14ac:dyDescent="0.25">
      <c r="A44" s="902" t="s">
        <v>92</v>
      </c>
      <c r="B44" s="902"/>
      <c r="C44" s="902"/>
      <c r="D44" s="902"/>
      <c r="E44" s="903" t="s">
        <v>819</v>
      </c>
      <c r="F44" s="903"/>
      <c r="G44" s="903"/>
      <c r="H44" s="903"/>
      <c r="I44" s="903"/>
      <c r="J44" s="903"/>
      <c r="K44" s="903"/>
      <c r="L44" s="903"/>
      <c r="M44" s="903"/>
      <c r="N44" s="903"/>
      <c r="O44" s="903"/>
      <c r="P44" s="903"/>
      <c r="Q44" s="903"/>
      <c r="R44" s="903"/>
      <c r="S44" s="903"/>
      <c r="T44" s="903"/>
      <c r="U44" s="903"/>
      <c r="V44" s="903"/>
      <c r="W44" s="903"/>
      <c r="X44" s="903"/>
      <c r="Y44" s="903"/>
      <c r="Z44" s="903"/>
    </row>
    <row r="45" spans="1:42" ht="13.5" thickBot="1" x14ac:dyDescent="0.25">
      <c r="A45" s="774" t="s">
        <v>93</v>
      </c>
      <c r="B45" s="775"/>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6"/>
    </row>
    <row r="46" spans="1:42" ht="8.85" customHeight="1" thickBot="1" x14ac:dyDescent="0.25">
      <c r="A46" s="881" t="s">
        <v>94</v>
      </c>
      <c r="B46" s="881"/>
      <c r="C46" s="881"/>
      <c r="D46" s="881"/>
      <c r="E46" s="881"/>
      <c r="F46" s="881"/>
      <c r="G46" s="881"/>
      <c r="H46" s="881"/>
      <c r="I46" s="881"/>
      <c r="J46" s="881"/>
      <c r="K46" s="881"/>
      <c r="L46" s="881"/>
      <c r="M46" s="881"/>
      <c r="N46" s="881"/>
      <c r="O46" s="881"/>
      <c r="P46" s="881"/>
      <c r="Q46" s="881"/>
      <c r="R46" s="881"/>
      <c r="S46" s="881"/>
      <c r="T46" s="881"/>
      <c r="U46" s="881"/>
      <c r="V46" s="881"/>
      <c r="W46" s="881"/>
      <c r="X46" s="881"/>
      <c r="Y46" s="881"/>
      <c r="Z46" s="881"/>
    </row>
    <row r="47" spans="1:42" ht="8.85" customHeight="1" x14ac:dyDescent="0.2">
      <c r="A47" s="881"/>
      <c r="B47" s="881"/>
      <c r="C47" s="881"/>
      <c r="D47" s="881"/>
      <c r="E47" s="881"/>
      <c r="F47" s="881"/>
      <c r="G47" s="881"/>
      <c r="H47" s="881"/>
      <c r="I47" s="881"/>
      <c r="J47" s="881"/>
      <c r="K47" s="881"/>
      <c r="L47" s="881"/>
      <c r="M47" s="881"/>
      <c r="N47" s="881"/>
      <c r="O47" s="881"/>
      <c r="P47" s="881"/>
      <c r="Q47" s="881"/>
      <c r="R47" s="881"/>
      <c r="S47" s="881"/>
      <c r="T47" s="881"/>
      <c r="U47" s="881"/>
      <c r="V47" s="881"/>
      <c r="W47" s="881"/>
      <c r="X47" s="881"/>
      <c r="Y47" s="881"/>
      <c r="Z47" s="881"/>
    </row>
    <row r="48" spans="1:42" ht="9.75" customHeight="1" x14ac:dyDescent="0.2">
      <c r="A48" s="881"/>
      <c r="B48" s="881"/>
      <c r="C48" s="881"/>
      <c r="D48" s="881"/>
      <c r="E48" s="881"/>
      <c r="F48" s="881"/>
      <c r="G48" s="881"/>
      <c r="H48" s="881"/>
      <c r="I48" s="881"/>
      <c r="J48" s="881"/>
      <c r="K48" s="881"/>
      <c r="L48" s="881"/>
      <c r="M48" s="881"/>
      <c r="N48" s="881"/>
      <c r="O48" s="881"/>
      <c r="P48" s="881"/>
      <c r="Q48" s="881"/>
      <c r="R48" s="881"/>
      <c r="S48" s="881"/>
      <c r="T48" s="881"/>
      <c r="U48" s="881"/>
      <c r="V48" s="881"/>
      <c r="W48" s="881"/>
      <c r="X48" s="881"/>
      <c r="Y48" s="881"/>
      <c r="Z48" s="881"/>
    </row>
    <row r="49" spans="1:38" x14ac:dyDescent="0.2">
      <c r="A49" s="54"/>
      <c r="B49" s="55"/>
      <c r="C49" s="55"/>
      <c r="D49" s="55"/>
      <c r="E49" s="55"/>
      <c r="F49" s="55"/>
      <c r="G49" s="55"/>
      <c r="H49" s="55"/>
      <c r="I49" s="55"/>
      <c r="J49" s="55"/>
      <c r="K49" s="882"/>
      <c r="L49" s="882"/>
      <c r="M49" s="882"/>
      <c r="N49" s="56" t="s">
        <v>95</v>
      </c>
      <c r="O49" s="56"/>
      <c r="P49" s="56"/>
      <c r="Q49" s="885" t="e">
        <f>#REF!</f>
        <v>#REF!</v>
      </c>
      <c r="R49" s="885"/>
      <c r="S49" s="885"/>
      <c r="T49" s="885"/>
      <c r="U49" s="885"/>
      <c r="V49" s="885"/>
      <c r="W49" s="885"/>
      <c r="X49" s="885"/>
      <c r="Y49" s="885"/>
      <c r="Z49" s="886"/>
    </row>
    <row r="50" spans="1:38" x14ac:dyDescent="0.2">
      <c r="A50" s="883" t="s">
        <v>96</v>
      </c>
      <c r="B50" s="883"/>
      <c r="C50" s="883"/>
      <c r="D50" s="883"/>
      <c r="E50" s="883"/>
      <c r="F50" s="883"/>
      <c r="G50" s="883"/>
      <c r="H50" s="883"/>
      <c r="I50" s="59"/>
      <c r="J50" s="59"/>
      <c r="K50" s="59"/>
      <c r="L50" s="60"/>
      <c r="M50" s="884" t="s">
        <v>97</v>
      </c>
      <c r="N50" s="884"/>
      <c r="O50" s="884"/>
      <c r="P50" s="884"/>
      <c r="Q50" s="884"/>
      <c r="R50" s="884"/>
      <c r="S50" s="884"/>
      <c r="T50" s="884"/>
      <c r="U50" s="59"/>
      <c r="V50" s="59"/>
      <c r="W50" s="59"/>
      <c r="X50" s="59"/>
      <c r="Y50" s="59"/>
      <c r="Z50" s="61"/>
    </row>
    <row r="51" spans="1:38" x14ac:dyDescent="0.2">
      <c r="A51" s="62"/>
      <c r="B51" s="63"/>
      <c r="C51" s="63"/>
      <c r="D51" s="63"/>
      <c r="E51" s="63"/>
      <c r="F51" s="63"/>
      <c r="G51" s="63"/>
      <c r="H51" s="63"/>
      <c r="I51" s="63"/>
      <c r="J51" s="63"/>
      <c r="K51" s="63"/>
      <c r="L51" s="64"/>
      <c r="M51" s="65"/>
      <c r="N51" s="63"/>
      <c r="O51" s="63"/>
      <c r="P51" s="63"/>
      <c r="Q51" s="63"/>
      <c r="R51" s="63"/>
      <c r="S51" s="63"/>
      <c r="T51" s="63"/>
      <c r="U51" s="63"/>
      <c r="V51" s="63"/>
      <c r="W51" s="63"/>
      <c r="X51" s="63"/>
      <c r="Y51" s="63"/>
      <c r="Z51" s="66"/>
    </row>
    <row r="52" spans="1:38" ht="19.149999999999999" customHeight="1" x14ac:dyDescent="0.2">
      <c r="A52" s="54"/>
      <c r="B52" s="893" t="s">
        <v>98</v>
      </c>
      <c r="C52" s="893"/>
      <c r="D52" s="893"/>
      <c r="E52" s="893"/>
      <c r="F52" s="893"/>
      <c r="G52" s="893"/>
      <c r="H52" s="893"/>
      <c r="I52" s="893"/>
      <c r="J52" s="893"/>
      <c r="K52" s="893"/>
      <c r="L52" s="67"/>
      <c r="M52" s="68"/>
      <c r="N52" s="893" t="s">
        <v>99</v>
      </c>
      <c r="O52" s="893"/>
      <c r="P52" s="893"/>
      <c r="Q52" s="893"/>
      <c r="R52" s="893"/>
      <c r="S52" s="893"/>
      <c r="T52" s="893"/>
      <c r="U52" s="893"/>
      <c r="V52" s="893"/>
      <c r="W52" s="893"/>
      <c r="X52" s="893"/>
      <c r="Y52" s="893"/>
      <c r="Z52" s="69"/>
    </row>
    <row r="53" spans="1:38" ht="13.5" thickBot="1" x14ac:dyDescent="0.25">
      <c r="A53" s="70"/>
      <c r="B53" s="71"/>
      <c r="C53" s="71"/>
      <c r="D53" s="71"/>
      <c r="E53" s="71"/>
      <c r="F53" s="71"/>
      <c r="G53" s="71"/>
      <c r="H53" s="71"/>
      <c r="I53" s="71"/>
      <c r="J53" s="71"/>
      <c r="K53" s="71"/>
      <c r="L53" s="72"/>
      <c r="M53" s="73"/>
      <c r="N53" s="71"/>
      <c r="O53" s="71"/>
      <c r="P53" s="71"/>
      <c r="Q53" s="71"/>
      <c r="R53" s="71"/>
      <c r="S53" s="71"/>
      <c r="T53" s="71"/>
      <c r="U53" s="71"/>
      <c r="V53" s="71"/>
      <c r="W53" s="71"/>
      <c r="X53" s="71"/>
      <c r="Y53" s="71"/>
      <c r="Z53" s="74"/>
    </row>
    <row r="54" spans="1:38" ht="13.5" thickBot="1" x14ac:dyDescent="0.25">
      <c r="A54" s="894" t="s">
        <v>15</v>
      </c>
      <c r="B54" s="895"/>
      <c r="C54" s="895"/>
      <c r="D54" s="895"/>
      <c r="E54" s="895"/>
      <c r="F54" s="895"/>
      <c r="G54" s="895"/>
      <c r="H54" s="895"/>
      <c r="I54" s="895"/>
      <c r="J54" s="895"/>
      <c r="K54" s="895"/>
      <c r="L54" s="895"/>
      <c r="M54" s="895"/>
      <c r="N54" s="895"/>
      <c r="O54" s="895"/>
      <c r="P54" s="895"/>
      <c r="Q54" s="895"/>
      <c r="R54" s="895"/>
      <c r="S54" s="895"/>
      <c r="T54" s="895"/>
      <c r="U54" s="895"/>
      <c r="V54" s="895"/>
      <c r="W54" s="895"/>
      <c r="X54" s="895"/>
      <c r="Y54" s="895"/>
      <c r="Z54" s="896"/>
    </row>
    <row r="55" spans="1:38" x14ac:dyDescent="0.2">
      <c r="A55" s="897" t="s">
        <v>12</v>
      </c>
      <c r="B55" s="898"/>
      <c r="C55" s="898"/>
      <c r="D55" s="526"/>
      <c r="E55" s="494" t="s">
        <v>13</v>
      </c>
      <c r="F55" s="875"/>
      <c r="G55" s="875"/>
      <c r="H55" s="875"/>
      <c r="I55" s="494" t="s">
        <v>13</v>
      </c>
      <c r="J55" s="876"/>
      <c r="K55" s="876"/>
      <c r="L55" s="495"/>
      <c r="M55" s="877"/>
      <c r="N55" s="878"/>
      <c r="O55" s="878"/>
      <c r="P55" s="495"/>
      <c r="Q55" s="494"/>
      <c r="R55" s="879"/>
      <c r="S55" s="879"/>
      <c r="T55" s="879"/>
      <c r="U55" s="494"/>
      <c r="V55" s="880"/>
      <c r="W55" s="880"/>
      <c r="X55" s="880"/>
      <c r="Y55" s="880"/>
      <c r="Z55" s="496"/>
      <c r="AA55" s="502"/>
      <c r="AB55" s="502"/>
      <c r="AC55" s="2"/>
      <c r="AD55" s="2"/>
      <c r="AE55" s="2"/>
      <c r="AF55" s="2"/>
      <c r="AG55" s="2"/>
      <c r="AH55" s="2"/>
      <c r="AI55" s="2"/>
      <c r="AJ55" s="2"/>
      <c r="AK55" s="2"/>
      <c r="AL55" s="2"/>
    </row>
    <row r="56" spans="1:38" x14ac:dyDescent="0.2">
      <c r="A56" s="497"/>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6"/>
      <c r="AA56" s="502"/>
      <c r="AB56" s="502"/>
      <c r="AC56" s="2"/>
      <c r="AD56" s="2"/>
      <c r="AE56" s="2"/>
      <c r="AF56" s="2"/>
      <c r="AG56" s="2"/>
      <c r="AH56" s="2"/>
      <c r="AI56" s="2"/>
      <c r="AJ56" s="2"/>
      <c r="AK56" s="2"/>
      <c r="AL56" s="2"/>
    </row>
    <row r="57" spans="1:38" x14ac:dyDescent="0.2">
      <c r="A57" s="497"/>
      <c r="B57" s="495"/>
      <c r="C57" s="495"/>
      <c r="D57" s="495"/>
      <c r="E57" s="495"/>
      <c r="F57" s="495"/>
      <c r="G57" s="495"/>
      <c r="H57" s="495"/>
      <c r="I57" s="498"/>
      <c r="J57" s="498"/>
      <c r="K57" s="498"/>
      <c r="L57" s="498"/>
      <c r="M57" s="498"/>
      <c r="N57" s="498"/>
      <c r="O57" s="498"/>
      <c r="P57" s="498"/>
      <c r="Q57" s="498"/>
      <c r="R57" s="498"/>
      <c r="S57" s="495"/>
      <c r="T57" s="495"/>
      <c r="U57" s="495"/>
      <c r="V57" s="495"/>
      <c r="W57" s="495"/>
      <c r="X57" s="495"/>
      <c r="Y57" s="495"/>
      <c r="Z57" s="496"/>
      <c r="AA57" s="502"/>
      <c r="AB57" s="502"/>
      <c r="AC57" s="2"/>
      <c r="AD57" s="2"/>
      <c r="AE57" s="2"/>
      <c r="AF57" s="2"/>
      <c r="AG57" s="2"/>
      <c r="AH57" s="2"/>
      <c r="AI57" s="2"/>
      <c r="AJ57" s="2"/>
      <c r="AK57" s="2"/>
      <c r="AL57" s="2"/>
    </row>
    <row r="58" spans="1:38" ht="13.5" thickBot="1" x14ac:dyDescent="0.25">
      <c r="A58" s="499"/>
      <c r="B58" s="500"/>
      <c r="C58" s="500"/>
      <c r="D58" s="500"/>
      <c r="E58" s="500"/>
      <c r="F58" s="500"/>
      <c r="G58" s="500"/>
      <c r="H58" s="500"/>
      <c r="I58" s="937" t="s">
        <v>16</v>
      </c>
      <c r="J58" s="937"/>
      <c r="K58" s="937"/>
      <c r="L58" s="937"/>
      <c r="M58" s="937"/>
      <c r="N58" s="937"/>
      <c r="O58" s="937"/>
      <c r="P58" s="937"/>
      <c r="Q58" s="937"/>
      <c r="R58" s="937"/>
      <c r="S58" s="500"/>
      <c r="T58" s="500"/>
      <c r="U58" s="500"/>
      <c r="V58" s="500"/>
      <c r="W58" s="500"/>
      <c r="X58" s="500"/>
      <c r="Y58" s="500"/>
      <c r="Z58" s="501"/>
      <c r="AA58" s="502"/>
      <c r="AB58" s="502"/>
      <c r="AC58" s="2"/>
      <c r="AD58" s="2"/>
      <c r="AE58" s="2"/>
      <c r="AF58" s="2"/>
      <c r="AG58" s="2"/>
      <c r="AH58" s="2"/>
      <c r="AI58" s="2"/>
      <c r="AJ58" s="2"/>
      <c r="AK58" s="2"/>
      <c r="AL58" s="2"/>
    </row>
    <row r="59" spans="1:38" ht="12.95" customHeight="1" thickBot="1" x14ac:dyDescent="0.25">
      <c r="A59" s="887" t="s">
        <v>789</v>
      </c>
      <c r="B59" s="888"/>
      <c r="C59" s="888"/>
      <c r="D59" s="888"/>
      <c r="E59" s="888"/>
      <c r="F59" s="888"/>
      <c r="G59" s="888"/>
      <c r="H59" s="888"/>
      <c r="I59" s="888"/>
      <c r="J59" s="888"/>
      <c r="K59" s="888"/>
      <c r="L59" s="888"/>
      <c r="M59" s="888"/>
      <c r="N59" s="888"/>
      <c r="O59" s="888"/>
      <c r="P59" s="888"/>
      <c r="Q59" s="888"/>
      <c r="R59" s="888"/>
      <c r="S59" s="888"/>
      <c r="T59" s="888"/>
      <c r="U59" s="888"/>
      <c r="V59" s="888"/>
      <c r="W59" s="888"/>
      <c r="X59" s="888"/>
      <c r="Y59" s="888"/>
      <c r="Z59" s="889"/>
      <c r="AA59" s="502"/>
      <c r="AB59" s="502"/>
      <c r="AC59" s="2"/>
      <c r="AD59" s="2"/>
      <c r="AE59" s="2"/>
      <c r="AF59" s="2"/>
      <c r="AG59" s="2"/>
      <c r="AH59" s="2"/>
      <c r="AI59" s="2"/>
      <c r="AJ59" s="2"/>
      <c r="AK59" s="2"/>
      <c r="AL59" s="2"/>
    </row>
    <row r="60" spans="1:38" x14ac:dyDescent="0.2">
      <c r="A60" s="890"/>
      <c r="B60" s="891"/>
      <c r="C60" s="891"/>
      <c r="D60" s="891"/>
      <c r="E60" s="891"/>
      <c r="F60" s="891"/>
      <c r="G60" s="891"/>
      <c r="H60" s="891"/>
      <c r="I60" s="891"/>
      <c r="J60" s="891"/>
      <c r="K60" s="891"/>
      <c r="L60" s="891"/>
      <c r="M60" s="891"/>
      <c r="N60" s="891"/>
      <c r="O60" s="891"/>
      <c r="P60" s="891"/>
      <c r="Q60" s="891"/>
      <c r="R60" s="891"/>
      <c r="S60" s="891"/>
      <c r="T60" s="891"/>
      <c r="U60" s="891"/>
      <c r="V60" s="891"/>
      <c r="W60" s="891"/>
      <c r="X60" s="891"/>
      <c r="Y60" s="891"/>
      <c r="Z60" s="892"/>
      <c r="AA60" s="502"/>
      <c r="AB60" s="502"/>
      <c r="AC60" s="2"/>
      <c r="AD60" s="2"/>
      <c r="AE60" s="2"/>
      <c r="AF60" s="2"/>
      <c r="AG60" s="2"/>
      <c r="AH60" s="2"/>
      <c r="AI60" s="2"/>
      <c r="AJ60" s="2"/>
      <c r="AK60" s="2"/>
      <c r="AL60" s="2"/>
    </row>
    <row r="61" spans="1:38" ht="13.5" thickBot="1" x14ac:dyDescent="0.25">
      <c r="A61" s="527"/>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9"/>
      <c r="AA61" s="502"/>
      <c r="AB61" s="502"/>
      <c r="AC61" s="2"/>
      <c r="AD61" s="2"/>
      <c r="AE61" s="2"/>
      <c r="AF61" s="2"/>
      <c r="AG61" s="2"/>
      <c r="AH61" s="2"/>
      <c r="AI61" s="2"/>
      <c r="AJ61" s="2"/>
      <c r="AK61" s="2"/>
      <c r="AL61" s="2"/>
    </row>
  </sheetData>
  <sheetProtection selectLockedCells="1" selectUnlockedCells="1"/>
  <mergeCells count="75">
    <mergeCell ref="F31:J31"/>
    <mergeCell ref="L31:M31"/>
    <mergeCell ref="O31:Q31"/>
    <mergeCell ref="R31:Z31"/>
    <mergeCell ref="I58:R58"/>
    <mergeCell ref="A27:Z27"/>
    <mergeCell ref="A28:H28"/>
    <mergeCell ref="A30:E30"/>
    <mergeCell ref="F30:J30"/>
    <mergeCell ref="L30:M30"/>
    <mergeCell ref="S30:T30"/>
    <mergeCell ref="F25:J25"/>
    <mergeCell ref="L25:M25"/>
    <mergeCell ref="O25:U25"/>
    <mergeCell ref="W25:X25"/>
    <mergeCell ref="F26:G26"/>
    <mergeCell ref="H26:Z26"/>
    <mergeCell ref="A21:Z21"/>
    <mergeCell ref="H22:I22"/>
    <mergeCell ref="F24:J24"/>
    <mergeCell ref="L24:M24"/>
    <mergeCell ref="O24:V24"/>
    <mergeCell ref="W24:X24"/>
    <mergeCell ref="A1:G1"/>
    <mergeCell ref="H1:Q1"/>
    <mergeCell ref="R1:Z1"/>
    <mergeCell ref="K7:L7"/>
    <mergeCell ref="K9:L9"/>
    <mergeCell ref="P9:Q9"/>
    <mergeCell ref="A3:Z3"/>
    <mergeCell ref="K12:L12"/>
    <mergeCell ref="K14:L14"/>
    <mergeCell ref="P14:Q14"/>
    <mergeCell ref="P19:Q19"/>
    <mergeCell ref="K16:L16"/>
    <mergeCell ref="K19:L19"/>
    <mergeCell ref="A32:Z32"/>
    <mergeCell ref="A33:B33"/>
    <mergeCell ref="C33:Y33"/>
    <mergeCell ref="A34:Z34"/>
    <mergeCell ref="A35:C35"/>
    <mergeCell ref="K35:Z35"/>
    <mergeCell ref="A36:C36"/>
    <mergeCell ref="D36:L36"/>
    <mergeCell ref="M36:Z36"/>
    <mergeCell ref="A37:C37"/>
    <mergeCell ref="D37:J37"/>
    <mergeCell ref="K37:Z37"/>
    <mergeCell ref="A45:Z45"/>
    <mergeCell ref="A38:Z38"/>
    <mergeCell ref="A39:D39"/>
    <mergeCell ref="E39:Z39"/>
    <mergeCell ref="A40:Z40"/>
    <mergeCell ref="A41:C41"/>
    <mergeCell ref="D41:Z41"/>
    <mergeCell ref="A59:Z60"/>
    <mergeCell ref="B52:K52"/>
    <mergeCell ref="N52:Y52"/>
    <mergeCell ref="A54:Z54"/>
    <mergeCell ref="A55:C55"/>
    <mergeCell ref="A42:D42"/>
    <mergeCell ref="E42:Z42"/>
    <mergeCell ref="A43:Z43"/>
    <mergeCell ref="A44:D44"/>
    <mergeCell ref="E44:Z44"/>
    <mergeCell ref="F55:H55"/>
    <mergeCell ref="J55:K55"/>
    <mergeCell ref="M55:O55"/>
    <mergeCell ref="R55:T55"/>
    <mergeCell ref="V55:Y55"/>
    <mergeCell ref="A46:Z48"/>
    <mergeCell ref="K49:M49"/>
    <mergeCell ref="A50:H50"/>
    <mergeCell ref="M50:T50"/>
    <mergeCell ref="Q49:Z49"/>
  </mergeCells>
  <printOptions horizontalCentered="1"/>
  <pageMargins left="0.59055118110236227" right="0.27559055118110237" top="0.31496062992125984" bottom="0.39370078740157483" header="0.51181102362204722" footer="0.51181102362204722"/>
  <pageSetup paperSize="9" firstPageNumber="0" orientation="portrait" r:id="rId1"/>
  <headerFooter alignWithMargins="0"/>
  <drawing r:id="rId2"/>
  <legacyDrawing r:id="rId3"/>
  <oleObjects>
    <mc:AlternateContent xmlns:mc="http://schemas.openxmlformats.org/markup-compatibility/2006">
      <mc:Choice Requires="x14">
        <oleObject progId="Unknown" shapeId="4097" r:id="rId4">
          <objectPr defaultSize="0" r:id="rId5">
            <anchor moveWithCells="1" sizeWithCells="1">
              <from>
                <xdr:col>15</xdr:col>
                <xdr:colOff>104775</xdr:colOff>
                <xdr:row>49</xdr:row>
                <xdr:rowOff>152400</xdr:rowOff>
              </from>
              <to>
                <xdr:col>20</xdr:col>
                <xdr:colOff>171450</xdr:colOff>
                <xdr:row>51</xdr:row>
                <xdr:rowOff>180975</xdr:rowOff>
              </to>
            </anchor>
          </objectPr>
        </oleObject>
      </mc:Choice>
      <mc:Fallback>
        <oleObject progId="Unknown"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topLeftCell="A46" zoomScale="117" zoomScaleNormal="117" workbookViewId="0">
      <selection activeCell="D9" sqref="D9"/>
    </sheetView>
  </sheetViews>
  <sheetFormatPr defaultColWidth="9.42578125" defaultRowHeight="12.75" x14ac:dyDescent="0.2"/>
  <cols>
    <col min="1" max="1" width="12" style="76" customWidth="1"/>
    <col min="2" max="5" width="8.42578125" style="76" customWidth="1"/>
    <col min="6" max="6" width="9" style="76" customWidth="1"/>
    <col min="7" max="7" width="8.5703125" style="76" customWidth="1"/>
    <col min="8" max="15" width="8.42578125" style="76" customWidth="1"/>
    <col min="16" max="16" width="9.42578125" style="76" customWidth="1"/>
    <col min="17" max="16384" width="9.42578125" style="76"/>
  </cols>
  <sheetData>
    <row r="1" spans="1:16" s="78" customFormat="1" x14ac:dyDescent="0.2">
      <c r="A1" s="77" t="s">
        <v>100</v>
      </c>
    </row>
    <row r="2" spans="1:16" s="78" customFormat="1" x14ac:dyDescent="0.2">
      <c r="A2" s="78" t="s">
        <v>101</v>
      </c>
      <c r="F2" s="78" t="s">
        <v>102</v>
      </c>
      <c r="G2" s="78">
        <v>19.7</v>
      </c>
      <c r="H2" s="78">
        <v>15.7</v>
      </c>
      <c r="I2" s="78">
        <v>2</v>
      </c>
      <c r="J2" s="78">
        <f>G2*H2*I2</f>
        <v>618.57999999999993</v>
      </c>
    </row>
    <row r="3" spans="1:16" s="78" customFormat="1" x14ac:dyDescent="0.2">
      <c r="A3" s="78" t="s">
        <v>103</v>
      </c>
      <c r="F3" s="78" t="s">
        <v>104</v>
      </c>
      <c r="G3" s="78">
        <v>20.2</v>
      </c>
      <c r="H3" s="78">
        <v>20.2</v>
      </c>
      <c r="I3" s="78">
        <v>2</v>
      </c>
      <c r="J3" s="78">
        <f>G3*H3*I3</f>
        <v>816.07999999999993</v>
      </c>
    </row>
    <row r="4" spans="1:16" s="78" customFormat="1" x14ac:dyDescent="0.2">
      <c r="A4" s="78" t="s">
        <v>105</v>
      </c>
      <c r="C4" s="940"/>
      <c r="D4" s="940"/>
      <c r="J4" s="78">
        <f>SUM(J2:J3)</f>
        <v>1434.6599999999999</v>
      </c>
    </row>
    <row r="5" spans="1:16" s="79" customFormat="1" x14ac:dyDescent="0.2">
      <c r="A5" s="79" t="s">
        <v>106</v>
      </c>
      <c r="I5" s="79">
        <v>0</v>
      </c>
      <c r="K5" s="79" t="s">
        <v>107</v>
      </c>
    </row>
    <row r="6" spans="1:16" x14ac:dyDescent="0.2">
      <c r="F6" s="76" t="s">
        <v>108</v>
      </c>
      <c r="G6" s="80"/>
      <c r="H6" s="80"/>
      <c r="I6" s="81">
        <v>3.3</v>
      </c>
      <c r="J6" s="82" t="s">
        <v>10</v>
      </c>
      <c r="K6" s="76" t="s">
        <v>109</v>
      </c>
    </row>
    <row r="7" spans="1:16" x14ac:dyDescent="0.2">
      <c r="A7" s="76" t="s">
        <v>110</v>
      </c>
      <c r="B7" s="80"/>
      <c r="C7" s="80"/>
      <c r="D7" s="81" t="s">
        <v>442</v>
      </c>
      <c r="F7" s="76" t="s">
        <v>111</v>
      </c>
      <c r="G7" s="80"/>
      <c r="H7" s="80"/>
      <c r="I7" s="81"/>
      <c r="J7" s="82" t="s">
        <v>112</v>
      </c>
      <c r="K7" s="76" t="s">
        <v>35</v>
      </c>
    </row>
    <row r="8" spans="1:16" x14ac:dyDescent="0.2">
      <c r="J8" s="82"/>
      <c r="K8" s="76" t="s">
        <v>113</v>
      </c>
    </row>
    <row r="9" spans="1:16" x14ac:dyDescent="0.2">
      <c r="A9" s="76" t="s">
        <v>114</v>
      </c>
      <c r="D9" s="81">
        <v>6</v>
      </c>
      <c r="F9" s="76" t="s">
        <v>115</v>
      </c>
      <c r="I9" s="81">
        <v>66</v>
      </c>
      <c r="J9" s="82"/>
      <c r="K9" s="76" t="s">
        <v>116</v>
      </c>
      <c r="N9" s="84"/>
    </row>
    <row r="10" spans="1:16" x14ac:dyDescent="0.2">
      <c r="A10" s="76" t="s">
        <v>117</v>
      </c>
      <c r="D10" s="85">
        <v>3</v>
      </c>
      <c r="F10" s="76" t="s">
        <v>118</v>
      </c>
      <c r="I10" s="85">
        <v>2.5</v>
      </c>
      <c r="J10" s="82"/>
      <c r="K10" s="76" t="s">
        <v>119</v>
      </c>
      <c r="N10" s="86"/>
    </row>
    <row r="11" spans="1:16" x14ac:dyDescent="0.2">
      <c r="J11" s="82"/>
    </row>
    <row r="12" spans="1:16" x14ac:dyDescent="0.2">
      <c r="F12" s="76" t="s">
        <v>120</v>
      </c>
      <c r="I12" s="84"/>
      <c r="K12" s="76" t="s">
        <v>121</v>
      </c>
      <c r="N12" s="84"/>
    </row>
    <row r="13" spans="1:16" x14ac:dyDescent="0.2">
      <c r="F13" s="76" t="s">
        <v>122</v>
      </c>
      <c r="I13" s="86"/>
      <c r="K13" s="76" t="s">
        <v>123</v>
      </c>
      <c r="N13" s="86"/>
    </row>
    <row r="14" spans="1:16" x14ac:dyDescent="0.2">
      <c r="J14" s="82"/>
    </row>
    <row r="15" spans="1:16" ht="13.5" thickBot="1" x14ac:dyDescent="0.25">
      <c r="I15" s="87"/>
      <c r="J15" s="87"/>
      <c r="K15" s="87"/>
    </row>
    <row r="16" spans="1:16" ht="13.5" thickBot="1" x14ac:dyDescent="0.25">
      <c r="A16" s="76" t="s">
        <v>126</v>
      </c>
      <c r="C16" s="81">
        <v>1</v>
      </c>
      <c r="E16" s="88" t="s">
        <v>270</v>
      </c>
      <c r="F16" s="81" t="s">
        <v>271</v>
      </c>
      <c r="G16" s="76" t="s">
        <v>127</v>
      </c>
      <c r="I16" s="27">
        <f>IF(C16=1,IF(F16="sim",100,130),IF(C16=2,300,IF(C16=3,900,"informar se 1, 2 e 3")))</f>
        <v>130</v>
      </c>
      <c r="J16" s="76" t="s">
        <v>128</v>
      </c>
      <c r="K16" s="27">
        <f>F17*60*I16</f>
        <v>15600</v>
      </c>
      <c r="O16" s="88" t="s">
        <v>272</v>
      </c>
      <c r="P16" s="76">
        <f>IF(C16=1,IF(F18=1,1,IF(OR(F18=2,F18=3,F18=4),2,IF(OR(F18=5,F18=6),3,4))))*60*130</f>
        <v>15600</v>
      </c>
    </row>
    <row r="17" spans="1:16" ht="13.5" thickBot="1" x14ac:dyDescent="0.25">
      <c r="C17" s="87"/>
      <c r="E17" s="88" t="s">
        <v>129</v>
      </c>
      <c r="F17" s="90">
        <f>IF(C16=1,IF(F16="SIM",2,IF(F18=1,1,IF(OR(F18=2,F18=3,F18=4),2,IF(OR(F18=5,F18=6),3,4)))),2)</f>
        <v>2</v>
      </c>
      <c r="I17" s="87"/>
      <c r="J17" s="476" t="s">
        <v>731</v>
      </c>
      <c r="K17" s="91"/>
      <c r="O17" s="88" t="s">
        <v>273</v>
      </c>
      <c r="P17" s="76">
        <f>IF(C16=1,2)*60*100</f>
        <v>12000</v>
      </c>
    </row>
    <row r="18" spans="1:16" ht="13.5" thickBot="1" x14ac:dyDescent="0.25">
      <c r="C18" s="87"/>
      <c r="E18" s="88" t="s">
        <v>269</v>
      </c>
      <c r="F18" s="81">
        <v>2</v>
      </c>
      <c r="J18" s="476" t="s">
        <v>732</v>
      </c>
      <c r="K18" s="76">
        <v>20000</v>
      </c>
      <c r="O18" s="88"/>
    </row>
    <row r="20" spans="1:16" x14ac:dyDescent="0.2">
      <c r="A20" s="941" t="s">
        <v>131</v>
      </c>
      <c r="B20" s="941"/>
      <c r="C20" s="941"/>
      <c r="D20" s="941"/>
      <c r="F20" s="941" t="s">
        <v>132</v>
      </c>
      <c r="G20" s="941"/>
      <c r="H20" s="941"/>
      <c r="I20" s="941"/>
      <c r="K20" s="93"/>
      <c r="L20" s="92" t="s">
        <v>133</v>
      </c>
      <c r="M20" s="92" t="s">
        <v>134</v>
      </c>
      <c r="N20" s="92" t="s">
        <v>135</v>
      </c>
      <c r="O20" s="92" t="s">
        <v>136</v>
      </c>
      <c r="P20" s="92" t="s">
        <v>137</v>
      </c>
    </row>
    <row r="21" spans="1:16" x14ac:dyDescent="0.2">
      <c r="A21" s="941" t="s">
        <v>138</v>
      </c>
      <c r="B21" s="941"/>
      <c r="C21" s="941" t="s">
        <v>139</v>
      </c>
      <c r="D21" s="941"/>
      <c r="F21" s="941" t="s">
        <v>138</v>
      </c>
      <c r="G21" s="941"/>
      <c r="H21" s="941" t="s">
        <v>139</v>
      </c>
      <c r="I21" s="941"/>
      <c r="K21" s="92" t="s">
        <v>140</v>
      </c>
      <c r="L21" s="92">
        <f>I16</f>
        <v>130</v>
      </c>
      <c r="M21" s="92">
        <f>L21/60</f>
        <v>2.1666666666666665</v>
      </c>
      <c r="N21" s="92">
        <f>L21/1000*60</f>
        <v>7.8000000000000007</v>
      </c>
      <c r="O21" s="92">
        <f>L21/60000</f>
        <v>2.1666666666666666E-3</v>
      </c>
      <c r="P21" s="92">
        <f>L21</f>
        <v>130</v>
      </c>
    </row>
    <row r="22" spans="1:16" x14ac:dyDescent="0.2">
      <c r="A22" s="93" t="s">
        <v>141</v>
      </c>
      <c r="B22" s="86">
        <v>2.5</v>
      </c>
      <c r="C22" s="93" t="s">
        <v>142</v>
      </c>
      <c r="D22" s="94">
        <f>0.254*B22*100</f>
        <v>63.5</v>
      </c>
      <c r="F22" s="93" t="s">
        <v>141</v>
      </c>
      <c r="G22" s="86"/>
      <c r="H22" s="93" t="s">
        <v>142</v>
      </c>
      <c r="I22" s="94">
        <f>0.254*G22*100</f>
        <v>0</v>
      </c>
      <c r="K22" s="92" t="str">
        <f>CONCATENATE("X",$F$17)</f>
        <v>X2</v>
      </c>
      <c r="L22" s="92">
        <f>L21*F17</f>
        <v>260</v>
      </c>
      <c r="M22" s="92">
        <f>M21*F17</f>
        <v>4.333333333333333</v>
      </c>
      <c r="N22" s="92">
        <f>N21*F17</f>
        <v>15.600000000000001</v>
      </c>
      <c r="O22" s="92">
        <f>O21*F17</f>
        <v>4.3333333333333331E-3</v>
      </c>
      <c r="P22" s="92">
        <f>P21*F17</f>
        <v>260</v>
      </c>
    </row>
    <row r="23" spans="1:16" x14ac:dyDescent="0.2">
      <c r="A23" s="93" t="s">
        <v>143</v>
      </c>
      <c r="B23" s="139">
        <v>0</v>
      </c>
      <c r="C23" s="96" t="s">
        <v>144</v>
      </c>
      <c r="D23" s="84">
        <v>15</v>
      </c>
      <c r="F23" s="93" t="s">
        <v>143</v>
      </c>
      <c r="G23" s="84"/>
      <c r="H23" s="96" t="s">
        <v>144</v>
      </c>
      <c r="I23" s="84"/>
      <c r="K23" s="97"/>
      <c r="L23" s="97"/>
      <c r="M23" s="97"/>
      <c r="N23" s="97"/>
      <c r="O23" s="97"/>
      <c r="P23" s="97"/>
    </row>
    <row r="24" spans="1:16" x14ac:dyDescent="0.2">
      <c r="A24" s="93" t="s">
        <v>141</v>
      </c>
      <c r="B24" s="86">
        <v>1.5</v>
      </c>
      <c r="C24" s="93" t="s">
        <v>142</v>
      </c>
      <c r="D24" s="94">
        <f>0.254*B24*100</f>
        <v>38.1</v>
      </c>
      <c r="F24" s="87"/>
      <c r="G24" s="98"/>
      <c r="H24" s="87"/>
      <c r="I24" s="99"/>
      <c r="K24" s="97"/>
      <c r="L24" s="97"/>
      <c r="M24" s="97"/>
      <c r="N24" s="97"/>
      <c r="O24" s="97"/>
      <c r="P24" s="97"/>
    </row>
    <row r="25" spans="1:16" x14ac:dyDescent="0.2">
      <c r="A25" s="93" t="s">
        <v>143</v>
      </c>
      <c r="B25" s="139">
        <v>2</v>
      </c>
      <c r="C25" s="96" t="s">
        <v>144</v>
      </c>
      <c r="D25" s="84">
        <v>15</v>
      </c>
      <c r="F25" s="87"/>
      <c r="G25" s="98"/>
      <c r="H25" s="87"/>
      <c r="I25" s="99"/>
      <c r="K25" s="97"/>
      <c r="L25" s="97" t="s">
        <v>145</v>
      </c>
      <c r="M25" s="97"/>
      <c r="N25" s="97"/>
      <c r="O25" s="97"/>
    </row>
    <row r="26" spans="1:16" x14ac:dyDescent="0.2">
      <c r="A26" s="93" t="s">
        <v>146</v>
      </c>
      <c r="B26" s="100">
        <f>IF(C16=1,13,IF(C16=2,16,25))</f>
        <v>13</v>
      </c>
      <c r="C26" s="93" t="s">
        <v>142</v>
      </c>
      <c r="D26" s="99"/>
      <c r="F26" s="87" t="s">
        <v>147</v>
      </c>
      <c r="G26" s="98"/>
      <c r="H26" s="87"/>
      <c r="I26" s="99"/>
      <c r="J26" s="76" t="s">
        <v>148</v>
      </c>
      <c r="K26" s="97"/>
      <c r="L26" s="97">
        <v>100</v>
      </c>
      <c r="M26" s="84"/>
      <c r="N26" s="97"/>
      <c r="O26" s="97"/>
    </row>
    <row r="27" spans="1:16" x14ac:dyDescent="0.2">
      <c r="A27" s="93" t="s">
        <v>149</v>
      </c>
      <c r="B27" s="101">
        <f>IF(B26=13,10.3,IF(B26=16,16.3,IF(B26=19,23.4,IF(B26=22,32,IF(B26=25,41.9,IF(B26=32,65.4,"ñ válido"))))))</f>
        <v>10.3</v>
      </c>
      <c r="C27" s="93" t="s">
        <v>150</v>
      </c>
      <c r="F27" s="76" t="s">
        <v>151</v>
      </c>
      <c r="G27" s="27">
        <f>IF(M26="x",L26,IF(M27="x",L27,IF(M28="x",L28,IF(M29="x",L29,IF(M30="x",L30,L31)))))</f>
        <v>120</v>
      </c>
      <c r="J27" s="76" t="s">
        <v>152</v>
      </c>
      <c r="L27" s="97">
        <v>100</v>
      </c>
      <c r="M27" s="84"/>
    </row>
    <row r="28" spans="1:16" x14ac:dyDescent="0.2">
      <c r="A28" s="79" t="s">
        <v>153</v>
      </c>
      <c r="J28" s="76" t="s">
        <v>154</v>
      </c>
      <c r="L28" s="97">
        <v>120</v>
      </c>
      <c r="M28" s="84"/>
    </row>
    <row r="29" spans="1:16" x14ac:dyDescent="0.2">
      <c r="A29" s="79"/>
      <c r="J29" s="102" t="s">
        <v>155</v>
      </c>
      <c r="L29" s="97">
        <v>120</v>
      </c>
      <c r="M29" s="84" t="s">
        <v>144</v>
      </c>
    </row>
    <row r="30" spans="1:16" x14ac:dyDescent="0.2">
      <c r="A30" s="76" t="s">
        <v>156</v>
      </c>
      <c r="C30" s="76" t="s">
        <v>157</v>
      </c>
      <c r="E30" s="76" t="s">
        <v>158</v>
      </c>
      <c r="J30" s="102" t="s">
        <v>159</v>
      </c>
      <c r="L30" s="97">
        <v>140</v>
      </c>
      <c r="M30" s="84"/>
    </row>
    <row r="31" spans="1:16" x14ac:dyDescent="0.2">
      <c r="A31" s="79"/>
      <c r="E31" s="76" t="s">
        <v>160</v>
      </c>
      <c r="J31" s="76" t="s">
        <v>161</v>
      </c>
      <c r="L31" s="97">
        <v>150</v>
      </c>
      <c r="M31" s="84"/>
    </row>
    <row r="32" spans="1:16" x14ac:dyDescent="0.2">
      <c r="A32" s="79"/>
      <c r="E32" s="76" t="s">
        <v>162</v>
      </c>
      <c r="L32" s="97"/>
    </row>
    <row r="33" spans="1:13" x14ac:dyDescent="0.2">
      <c r="A33" s="79"/>
      <c r="L33" s="97"/>
    </row>
    <row r="34" spans="1:13" x14ac:dyDescent="0.2">
      <c r="A34" s="76" t="s">
        <v>163</v>
      </c>
      <c r="E34" s="76" t="s">
        <v>164</v>
      </c>
    </row>
    <row r="36" spans="1:13" x14ac:dyDescent="0.2">
      <c r="A36" s="82" t="s">
        <v>165</v>
      </c>
      <c r="B36" s="76" t="s">
        <v>166</v>
      </c>
      <c r="E36" s="82" t="s">
        <v>167</v>
      </c>
      <c r="F36" s="76" t="s">
        <v>168</v>
      </c>
    </row>
    <row r="37" spans="1:13" x14ac:dyDescent="0.2">
      <c r="A37" s="82" t="s">
        <v>169</v>
      </c>
      <c r="B37" s="76" t="s">
        <v>170</v>
      </c>
      <c r="E37" s="82" t="s">
        <v>171</v>
      </c>
      <c r="F37" s="76" t="s">
        <v>172</v>
      </c>
    </row>
    <row r="38" spans="1:13" x14ac:dyDescent="0.2">
      <c r="A38" s="82" t="s">
        <v>173</v>
      </c>
      <c r="B38" s="76" t="s">
        <v>174</v>
      </c>
      <c r="E38" s="82" t="s">
        <v>175</v>
      </c>
      <c r="F38" s="76" t="s">
        <v>176</v>
      </c>
    </row>
    <row r="39" spans="1:13" x14ac:dyDescent="0.2">
      <c r="E39" s="82"/>
    </row>
    <row r="40" spans="1:13" x14ac:dyDescent="0.2">
      <c r="A40" s="103" t="s">
        <v>177</v>
      </c>
      <c r="E40" s="82"/>
    </row>
    <row r="41" spans="1:13" x14ac:dyDescent="0.2">
      <c r="A41" s="76">
        <v>1</v>
      </c>
      <c r="B41" s="76" t="s">
        <v>178</v>
      </c>
      <c r="E41" s="88">
        <v>6</v>
      </c>
      <c r="F41" s="76" t="s">
        <v>179</v>
      </c>
      <c r="I41" s="76">
        <v>11</v>
      </c>
      <c r="J41" s="76" t="s">
        <v>180</v>
      </c>
      <c r="M41" s="76" t="s">
        <v>181</v>
      </c>
    </row>
    <row r="42" spans="1:13" x14ac:dyDescent="0.2">
      <c r="A42" s="76">
        <v>2</v>
      </c>
      <c r="B42" s="76" t="s">
        <v>182</v>
      </c>
      <c r="E42" s="88">
        <v>7</v>
      </c>
      <c r="F42" s="76" t="s">
        <v>183</v>
      </c>
      <c r="I42" s="76">
        <v>12</v>
      </c>
      <c r="J42" s="76" t="s">
        <v>184</v>
      </c>
    </row>
    <row r="43" spans="1:13" x14ac:dyDescent="0.2">
      <c r="A43" s="76">
        <v>3</v>
      </c>
      <c r="B43" s="76" t="s">
        <v>274</v>
      </c>
      <c r="E43" s="88">
        <v>8</v>
      </c>
      <c r="F43" s="76" t="s">
        <v>186</v>
      </c>
      <c r="I43" s="76">
        <v>13</v>
      </c>
      <c r="J43" s="76" t="s">
        <v>187</v>
      </c>
    </row>
    <row r="44" spans="1:13" x14ac:dyDescent="0.2">
      <c r="A44" s="76">
        <v>4</v>
      </c>
      <c r="B44" s="76" t="s">
        <v>188</v>
      </c>
      <c r="E44" s="88">
        <v>9</v>
      </c>
      <c r="F44" s="76" t="s">
        <v>189</v>
      </c>
      <c r="I44" s="76">
        <v>14</v>
      </c>
      <c r="J44" s="76" t="s">
        <v>190</v>
      </c>
    </row>
    <row r="45" spans="1:13" x14ac:dyDescent="0.2">
      <c r="A45" s="76">
        <v>5</v>
      </c>
      <c r="B45" s="76" t="s">
        <v>191</v>
      </c>
      <c r="E45" s="88">
        <v>10</v>
      </c>
      <c r="F45" s="76" t="s">
        <v>192</v>
      </c>
      <c r="I45" s="76">
        <v>15</v>
      </c>
      <c r="J45" s="76" t="s">
        <v>193</v>
      </c>
    </row>
    <row r="46" spans="1:13" x14ac:dyDescent="0.2">
      <c r="E46" s="88"/>
    </row>
    <row r="47" spans="1:13" x14ac:dyDescent="0.2">
      <c r="A47" s="104" t="s">
        <v>194</v>
      </c>
      <c r="E47" s="88"/>
    </row>
    <row r="48" spans="1:13" x14ac:dyDescent="0.2">
      <c r="A48" s="76" t="s">
        <v>195</v>
      </c>
      <c r="C48" s="76">
        <f>O22/(PI()*F59*F59/4)</f>
        <v>0.95021585696554833</v>
      </c>
      <c r="D48" s="76" t="str">
        <f>IF(C48&gt;=4,"redimencionar","Aceitável")</f>
        <v>Aceitável</v>
      </c>
      <c r="E48" s="88"/>
    </row>
    <row r="49" spans="1:16" x14ac:dyDescent="0.2">
      <c r="A49" s="104"/>
      <c r="E49" s="88"/>
    </row>
    <row r="50" spans="1:16" x14ac:dyDescent="0.2">
      <c r="A50" s="104" t="s">
        <v>196</v>
      </c>
      <c r="E50" s="88"/>
    </row>
    <row r="51" spans="1:16" x14ac:dyDescent="0.2">
      <c r="A51" s="76" t="s">
        <v>197</v>
      </c>
      <c r="C51" s="76">
        <f>O22/(PI()*F80^2/4)</f>
        <v>1.3683108340303893</v>
      </c>
      <c r="D51" s="76" t="str">
        <f>IF(C51&gt;=5,"redimencionar","Aceitável")</f>
        <v>Aceitável</v>
      </c>
      <c r="E51" s="88"/>
    </row>
    <row r="52" spans="1:16" x14ac:dyDescent="0.2">
      <c r="A52" s="76" t="s">
        <v>198</v>
      </c>
      <c r="C52" s="76" t="str">
        <f>IF(F100=0,"",$O$22/(PI()*F100^2/4))</f>
        <v/>
      </c>
      <c r="D52" s="76" t="str">
        <f>IF(C52="","",IF(C52&gt;=5,"redimencionar","Aceitável"))</f>
        <v/>
      </c>
      <c r="E52" s="88"/>
    </row>
    <row r="53" spans="1:16" x14ac:dyDescent="0.2">
      <c r="A53" s="76" t="s">
        <v>199</v>
      </c>
      <c r="C53" s="76" t="str">
        <f>IF(F120=0,"",$O$22/(PI()*F120^2/4))</f>
        <v/>
      </c>
      <c r="D53" s="76" t="str">
        <f>IF(C53="","",IF(C53&gt;=5,"redimencionar","Aceitável"))</f>
        <v/>
      </c>
      <c r="E53" s="88"/>
    </row>
    <row r="54" spans="1:16" x14ac:dyDescent="0.2">
      <c r="A54" s="76" t="s">
        <v>200</v>
      </c>
      <c r="C54" s="76" t="str">
        <f>IF(F140=0,"",$O$22/(PI()*F140^2/4))</f>
        <v/>
      </c>
      <c r="D54" s="76" t="str">
        <f>IF(C54="","",IF(C54&gt;=5,"redimencionar","Aceitável"))</f>
        <v/>
      </c>
      <c r="E54" s="88"/>
    </row>
    <row r="55" spans="1:16" x14ac:dyDescent="0.2">
      <c r="E55" s="88"/>
    </row>
    <row r="56" spans="1:16" x14ac:dyDescent="0.2">
      <c r="E56" s="82"/>
    </row>
    <row r="57" spans="1:16" s="104" customFormat="1" x14ac:dyDescent="0.2">
      <c r="A57" s="104" t="s">
        <v>201</v>
      </c>
      <c r="E57" s="105"/>
    </row>
    <row r="58" spans="1:16" x14ac:dyDescent="0.2">
      <c r="A58" s="76" t="s">
        <v>202</v>
      </c>
      <c r="D58" s="106">
        <f>D10</f>
        <v>3</v>
      </c>
      <c r="E58" s="82" t="s">
        <v>142</v>
      </c>
      <c r="F58" s="107">
        <f>0.254*D58*100</f>
        <v>76.2</v>
      </c>
      <c r="K58" s="92"/>
      <c r="L58" s="108" t="s">
        <v>133</v>
      </c>
      <c r="M58" s="92" t="s">
        <v>134</v>
      </c>
      <c r="N58" s="92" t="s">
        <v>135</v>
      </c>
      <c r="O58" s="108" t="s">
        <v>136</v>
      </c>
    </row>
    <row r="59" spans="1:16" x14ac:dyDescent="0.2">
      <c r="E59" s="82" t="s">
        <v>203</v>
      </c>
      <c r="F59" s="93">
        <f>0.254*D58*100/1000</f>
        <v>7.6200000000000004E-2</v>
      </c>
      <c r="K59" s="109" t="str">
        <f>CONCATENATE("X",$F$17)</f>
        <v>X2</v>
      </c>
      <c r="L59" s="28">
        <f>$L$22</f>
        <v>260</v>
      </c>
      <c r="M59" s="110">
        <f>$M$22</f>
        <v>4.333333333333333</v>
      </c>
      <c r="N59" s="109">
        <f>$N$22</f>
        <v>15.600000000000001</v>
      </c>
      <c r="O59" s="92">
        <f>$O$22</f>
        <v>4.3333333333333331E-3</v>
      </c>
    </row>
    <row r="61" spans="1:16" x14ac:dyDescent="0.2">
      <c r="A61" s="111" t="s">
        <v>204</v>
      </c>
      <c r="B61" s="110">
        <v>1</v>
      </c>
      <c r="C61" s="92">
        <v>2</v>
      </c>
      <c r="D61" s="92">
        <v>3</v>
      </c>
      <c r="E61" s="92">
        <v>4</v>
      </c>
      <c r="F61" s="92">
        <v>5</v>
      </c>
      <c r="G61" s="92">
        <v>6</v>
      </c>
      <c r="H61" s="92">
        <v>7</v>
      </c>
      <c r="I61" s="92">
        <v>8</v>
      </c>
      <c r="J61" s="92">
        <v>9</v>
      </c>
      <c r="K61" s="92">
        <v>10</v>
      </c>
      <c r="L61" s="92">
        <v>11</v>
      </c>
      <c r="M61" s="92">
        <v>12</v>
      </c>
      <c r="N61" s="92">
        <v>13</v>
      </c>
      <c r="O61" s="92">
        <v>14</v>
      </c>
      <c r="P61" s="112">
        <v>15</v>
      </c>
    </row>
    <row r="62" spans="1:16" x14ac:dyDescent="0.2">
      <c r="A62" s="113" t="s">
        <v>143</v>
      </c>
      <c r="B62" s="114">
        <v>2</v>
      </c>
      <c r="C62" s="114"/>
      <c r="D62" s="114"/>
      <c r="E62" s="114"/>
      <c r="F62" s="114">
        <v>2</v>
      </c>
      <c r="G62" s="114"/>
      <c r="H62" s="114"/>
      <c r="I62" s="114">
        <v>1</v>
      </c>
      <c r="J62" s="114">
        <v>1</v>
      </c>
      <c r="K62" s="114"/>
      <c r="L62" s="114"/>
      <c r="M62" s="114"/>
      <c r="N62" s="114"/>
      <c r="O62" s="114">
        <v>1</v>
      </c>
      <c r="P62" s="115">
        <f>D9</f>
        <v>6</v>
      </c>
    </row>
    <row r="63" spans="1:16" x14ac:dyDescent="0.2">
      <c r="A63" s="93" t="s">
        <v>205</v>
      </c>
      <c r="B63" s="92">
        <v>4.3</v>
      </c>
      <c r="C63" s="92">
        <v>5.5</v>
      </c>
      <c r="D63" s="92">
        <v>6.4</v>
      </c>
      <c r="E63" s="92">
        <v>3</v>
      </c>
      <c r="F63" s="92">
        <v>1.4</v>
      </c>
      <c r="G63" s="92">
        <v>67</v>
      </c>
      <c r="H63" s="92">
        <v>34</v>
      </c>
      <c r="I63" s="92">
        <v>4.3</v>
      </c>
      <c r="J63" s="92">
        <v>13</v>
      </c>
      <c r="K63" s="92">
        <v>13</v>
      </c>
      <c r="L63" s="92">
        <v>52</v>
      </c>
      <c r="M63" s="92">
        <v>16</v>
      </c>
      <c r="N63" s="92">
        <v>25</v>
      </c>
      <c r="O63" s="92">
        <v>6</v>
      </c>
      <c r="P63" s="92">
        <v>1</v>
      </c>
    </row>
    <row r="64" spans="1:16" x14ac:dyDescent="0.2">
      <c r="A64" s="93" t="s">
        <v>206</v>
      </c>
      <c r="B64" s="92">
        <v>3.4</v>
      </c>
      <c r="C64" s="92">
        <v>4.3</v>
      </c>
      <c r="D64" s="92">
        <v>4.9000000000000004</v>
      </c>
      <c r="E64" s="92">
        <v>2.2999999999999998</v>
      </c>
      <c r="F64" s="92">
        <v>1.1000000000000001</v>
      </c>
      <c r="G64" s="92">
        <v>51</v>
      </c>
      <c r="H64" s="92">
        <v>26</v>
      </c>
      <c r="I64" s="92">
        <v>3.4</v>
      </c>
      <c r="J64" s="92">
        <v>10</v>
      </c>
      <c r="K64" s="92">
        <v>10</v>
      </c>
      <c r="L64" s="92">
        <v>39</v>
      </c>
      <c r="M64" s="92">
        <v>12.5</v>
      </c>
      <c r="N64" s="92">
        <v>19.3</v>
      </c>
      <c r="O64" s="92">
        <v>5</v>
      </c>
      <c r="P64" s="92">
        <v>1</v>
      </c>
    </row>
    <row r="65" spans="1:16" x14ac:dyDescent="0.2">
      <c r="A65" s="93" t="s">
        <v>207</v>
      </c>
      <c r="B65" s="92">
        <v>2.1</v>
      </c>
      <c r="C65" s="92">
        <v>2.8</v>
      </c>
      <c r="D65" s="92">
        <v>3.4</v>
      </c>
      <c r="E65" s="92">
        <v>1.5</v>
      </c>
      <c r="F65" s="92">
        <v>0.7</v>
      </c>
      <c r="G65" s="92">
        <v>34</v>
      </c>
      <c r="H65" s="92">
        <v>17</v>
      </c>
      <c r="I65" s="92">
        <v>2.1</v>
      </c>
      <c r="J65" s="92">
        <v>6.7</v>
      </c>
      <c r="K65" s="92">
        <v>6.7</v>
      </c>
      <c r="L65" s="92">
        <v>23</v>
      </c>
      <c r="M65" s="92">
        <v>8.4</v>
      </c>
      <c r="N65" s="92">
        <v>12.9</v>
      </c>
      <c r="O65" s="92">
        <v>3.2</v>
      </c>
      <c r="P65" s="92">
        <v>1</v>
      </c>
    </row>
    <row r="66" spans="1:16" x14ac:dyDescent="0.2">
      <c r="A66" s="93" t="s">
        <v>208</v>
      </c>
      <c r="B66" s="92">
        <v>1.6</v>
      </c>
      <c r="C66" s="92">
        <v>2.1</v>
      </c>
      <c r="D66" s="92">
        <v>2.5</v>
      </c>
      <c r="E66" s="92">
        <v>1.2</v>
      </c>
      <c r="F66" s="92">
        <v>0.5</v>
      </c>
      <c r="G66" s="92">
        <v>26</v>
      </c>
      <c r="H66" s="92">
        <v>13</v>
      </c>
      <c r="I66" s="92">
        <v>1.6</v>
      </c>
      <c r="J66" s="92">
        <v>5.2</v>
      </c>
      <c r="K66" s="92">
        <v>5.2</v>
      </c>
      <c r="L66" s="92">
        <v>20</v>
      </c>
      <c r="M66" s="92">
        <v>6.3</v>
      </c>
      <c r="N66" s="92">
        <v>9.6999999999999993</v>
      </c>
      <c r="O66" s="92">
        <v>2.2000000000000002</v>
      </c>
      <c r="P66" s="92">
        <v>1</v>
      </c>
    </row>
    <row r="67" spans="1:16" x14ac:dyDescent="0.2">
      <c r="A67" s="93" t="s">
        <v>209</v>
      </c>
      <c r="B67" s="92">
        <v>1.3</v>
      </c>
      <c r="C67" s="92">
        <v>1.7</v>
      </c>
      <c r="D67" s="92">
        <v>2</v>
      </c>
      <c r="E67" s="92">
        <v>0.9</v>
      </c>
      <c r="F67" s="92">
        <v>0.4</v>
      </c>
      <c r="G67" s="92">
        <v>21</v>
      </c>
      <c r="H67" s="92">
        <v>10</v>
      </c>
      <c r="I67" s="92">
        <v>1.3</v>
      </c>
      <c r="J67" s="92">
        <v>4.3</v>
      </c>
      <c r="K67" s="92">
        <v>4.3</v>
      </c>
      <c r="L67" s="92">
        <v>17</v>
      </c>
      <c r="M67" s="92">
        <v>5.2</v>
      </c>
      <c r="N67" s="92">
        <v>8.1</v>
      </c>
      <c r="O67" s="92">
        <v>1.9</v>
      </c>
      <c r="P67" s="92">
        <v>1</v>
      </c>
    </row>
    <row r="68" spans="1:16" x14ac:dyDescent="0.2">
      <c r="A68" s="93" t="s">
        <v>210</v>
      </c>
      <c r="B68" s="92">
        <v>1.1000000000000001</v>
      </c>
      <c r="C68" s="92">
        <v>1.4</v>
      </c>
      <c r="D68" s="92">
        <v>1.7</v>
      </c>
      <c r="E68" s="92">
        <v>0.8</v>
      </c>
      <c r="F68" s="92">
        <v>0.4</v>
      </c>
      <c r="G68" s="92">
        <v>17.399999999999999</v>
      </c>
      <c r="H68" s="92">
        <v>8.5</v>
      </c>
      <c r="I68" s="92">
        <v>1.1000000000000001</v>
      </c>
      <c r="J68" s="92">
        <v>3.5</v>
      </c>
      <c r="K68" s="92">
        <v>3.5</v>
      </c>
      <c r="L68" s="92">
        <v>14</v>
      </c>
      <c r="M68" s="92">
        <v>4.2</v>
      </c>
      <c r="N68" s="92">
        <v>6.4</v>
      </c>
      <c r="O68" s="92">
        <v>1.5</v>
      </c>
      <c r="P68" s="92">
        <v>1</v>
      </c>
    </row>
    <row r="69" spans="1:16" x14ac:dyDescent="0.2">
      <c r="A69" s="93" t="s">
        <v>211</v>
      </c>
      <c r="B69" s="92">
        <f t="shared" ref="B69:P69" si="0">IF(OR($D58=8,$D58=6,$D58=4,$D58=3,$D58=2.5,$D58=2),IF($D58=8,B63*B62,IF($D58=6,B64*B62,IF($D58=4,B65*B62,IF($D58=3,B66*B62,IF($D58=2.5,B67*B62,B68*B62))))),"")</f>
        <v>3.2</v>
      </c>
      <c r="C69" s="92">
        <f t="shared" si="0"/>
        <v>0</v>
      </c>
      <c r="D69" s="92">
        <f t="shared" si="0"/>
        <v>0</v>
      </c>
      <c r="E69" s="92">
        <f t="shared" si="0"/>
        <v>0</v>
      </c>
      <c r="F69" s="92">
        <f t="shared" si="0"/>
        <v>1</v>
      </c>
      <c r="G69" s="92">
        <f t="shared" si="0"/>
        <v>0</v>
      </c>
      <c r="H69" s="92">
        <f t="shared" si="0"/>
        <v>0</v>
      </c>
      <c r="I69" s="92">
        <f t="shared" si="0"/>
        <v>1.6</v>
      </c>
      <c r="J69" s="92">
        <f t="shared" si="0"/>
        <v>5.2</v>
      </c>
      <c r="K69" s="92">
        <f t="shared" si="0"/>
        <v>0</v>
      </c>
      <c r="L69" s="92">
        <f t="shared" si="0"/>
        <v>0</v>
      </c>
      <c r="M69" s="92">
        <f t="shared" si="0"/>
        <v>0</v>
      </c>
      <c r="N69" s="92">
        <f t="shared" si="0"/>
        <v>0</v>
      </c>
      <c r="O69" s="92">
        <f t="shared" si="0"/>
        <v>2.2000000000000002</v>
      </c>
      <c r="P69" s="92">
        <f t="shared" si="0"/>
        <v>6</v>
      </c>
    </row>
    <row r="70" spans="1:16" x14ac:dyDescent="0.2">
      <c r="B70" s="116"/>
      <c r="C70" s="116"/>
      <c r="D70" s="116"/>
      <c r="E70" s="116"/>
      <c r="F70" s="116"/>
      <c r="G70" s="116"/>
      <c r="H70" s="116"/>
      <c r="I70" s="116"/>
      <c r="J70" s="116"/>
      <c r="K70" s="116"/>
      <c r="L70" s="116"/>
      <c r="M70" s="116"/>
      <c r="N70" s="116"/>
      <c r="O70" s="116"/>
    </row>
    <row r="71" spans="1:16" x14ac:dyDescent="0.2">
      <c r="A71" s="76" t="s">
        <v>212</v>
      </c>
      <c r="F71" s="90">
        <f>SUM(B69:O69)</f>
        <v>13.2</v>
      </c>
      <c r="I71" s="117" t="s">
        <v>213</v>
      </c>
      <c r="N71" s="117" t="s">
        <v>214</v>
      </c>
    </row>
    <row r="72" spans="1:16" x14ac:dyDescent="0.2">
      <c r="A72" s="76" t="s">
        <v>215</v>
      </c>
      <c r="F72" s="90">
        <f>P69</f>
        <v>6</v>
      </c>
      <c r="I72" s="76" t="s">
        <v>216</v>
      </c>
      <c r="N72" s="118" t="s">
        <v>217</v>
      </c>
    </row>
    <row r="73" spans="1:16" x14ac:dyDescent="0.2">
      <c r="A73" s="76" t="s">
        <v>218</v>
      </c>
      <c r="F73" s="76">
        <f>F72+F71</f>
        <v>19.2</v>
      </c>
      <c r="I73" s="118" t="s">
        <v>219</v>
      </c>
    </row>
    <row r="74" spans="1:16" s="80" customFormat="1" x14ac:dyDescent="0.2">
      <c r="A74" s="76" t="s">
        <v>220</v>
      </c>
      <c r="F74" s="119">
        <f>(10.643*O59^1.85)/($G$27^1.85*F59^4.87)</f>
        <v>1.7929943749341822E-2</v>
      </c>
      <c r="G74" s="120"/>
      <c r="I74" s="118" t="s">
        <v>221</v>
      </c>
    </row>
    <row r="75" spans="1:16" s="80" customFormat="1" x14ac:dyDescent="0.2">
      <c r="A75" s="76" t="s">
        <v>222</v>
      </c>
      <c r="F75" s="39">
        <f>F74*F73</f>
        <v>0.34425491998736296</v>
      </c>
      <c r="I75" s="118" t="s">
        <v>223</v>
      </c>
    </row>
    <row r="78" spans="1:16" s="104" customFormat="1" x14ac:dyDescent="0.2">
      <c r="A78" s="104" t="s">
        <v>224</v>
      </c>
      <c r="E78" s="105"/>
      <c r="F78" s="104" t="s">
        <v>225</v>
      </c>
    </row>
    <row r="79" spans="1:16" x14ac:dyDescent="0.2">
      <c r="A79" s="76" t="s">
        <v>202</v>
      </c>
      <c r="D79" s="106">
        <f>$I$10</f>
        <v>2.5</v>
      </c>
      <c r="E79" s="82" t="s">
        <v>142</v>
      </c>
      <c r="F79" s="107">
        <f>0.254*D79*100</f>
        <v>63.5</v>
      </c>
      <c r="K79" s="92"/>
      <c r="L79" s="92" t="s">
        <v>133</v>
      </c>
      <c r="M79" s="92" t="s">
        <v>134</v>
      </c>
      <c r="N79" s="92" t="s">
        <v>135</v>
      </c>
      <c r="O79" s="108" t="s">
        <v>136</v>
      </c>
    </row>
    <row r="80" spans="1:16" x14ac:dyDescent="0.2">
      <c r="E80" s="82" t="s">
        <v>203</v>
      </c>
      <c r="F80" s="93">
        <f>0.254*D79*100/1000</f>
        <v>6.3500000000000001E-2</v>
      </c>
      <c r="K80" s="92" t="str">
        <f>CONCATENATE("X",$F$17)</f>
        <v>X2</v>
      </c>
      <c r="L80" s="121">
        <f>$L$22</f>
        <v>260</v>
      </c>
      <c r="M80" s="92">
        <f>$M$22</f>
        <v>4.333333333333333</v>
      </c>
      <c r="N80" s="109">
        <f>$N$22</f>
        <v>15.600000000000001</v>
      </c>
      <c r="O80" s="92">
        <f>$O$22</f>
        <v>4.3333333333333331E-3</v>
      </c>
    </row>
    <row r="82" spans="1:17" x14ac:dyDescent="0.2">
      <c r="A82" s="111" t="s">
        <v>204</v>
      </c>
      <c r="B82" s="110">
        <v>1</v>
      </c>
      <c r="C82" s="92">
        <v>2</v>
      </c>
      <c r="D82" s="92">
        <v>3</v>
      </c>
      <c r="E82" s="92">
        <v>4</v>
      </c>
      <c r="F82" s="92">
        <v>5</v>
      </c>
      <c r="G82" s="92">
        <v>6</v>
      </c>
      <c r="H82" s="92">
        <v>7</v>
      </c>
      <c r="I82" s="92">
        <v>8</v>
      </c>
      <c r="J82" s="92">
        <v>9</v>
      </c>
      <c r="K82" s="92">
        <v>10</v>
      </c>
      <c r="L82" s="92">
        <v>11</v>
      </c>
      <c r="M82" s="92">
        <v>12</v>
      </c>
      <c r="N82" s="92">
        <v>13</v>
      </c>
      <c r="O82" s="92">
        <v>14</v>
      </c>
      <c r="P82" s="92">
        <v>15</v>
      </c>
      <c r="Q82" s="92">
        <v>16</v>
      </c>
    </row>
    <row r="83" spans="1:17" x14ac:dyDescent="0.2">
      <c r="A83" s="113" t="s">
        <v>143</v>
      </c>
      <c r="B83" s="114">
        <v>7</v>
      </c>
      <c r="C83" s="114"/>
      <c r="D83" s="114"/>
      <c r="E83" s="114"/>
      <c r="F83" s="114">
        <v>1</v>
      </c>
      <c r="G83" s="114"/>
      <c r="H83" s="114">
        <v>2</v>
      </c>
      <c r="I83" s="114">
        <v>2</v>
      </c>
      <c r="J83" s="114">
        <v>1</v>
      </c>
      <c r="K83" s="114"/>
      <c r="L83" s="114"/>
      <c r="M83" s="114"/>
      <c r="N83" s="114">
        <v>1</v>
      </c>
      <c r="O83" s="114"/>
      <c r="P83" s="115">
        <f>I9</f>
        <v>66</v>
      </c>
      <c r="Q83" s="114">
        <v>1</v>
      </c>
    </row>
    <row r="84" spans="1:17" x14ac:dyDescent="0.2">
      <c r="A84" s="93" t="s">
        <v>205</v>
      </c>
      <c r="B84" s="92">
        <v>4.3</v>
      </c>
      <c r="C84" s="92">
        <v>5.5</v>
      </c>
      <c r="D84" s="92">
        <v>6.4</v>
      </c>
      <c r="E84" s="92">
        <v>3</v>
      </c>
      <c r="F84" s="92">
        <v>1.4</v>
      </c>
      <c r="G84" s="92">
        <v>67</v>
      </c>
      <c r="H84" s="92">
        <v>34</v>
      </c>
      <c r="I84" s="92">
        <v>4.3</v>
      </c>
      <c r="J84" s="92">
        <v>13</v>
      </c>
      <c r="K84" s="92">
        <v>13</v>
      </c>
      <c r="L84" s="92">
        <v>52</v>
      </c>
      <c r="M84" s="92">
        <v>16</v>
      </c>
      <c r="N84" s="92">
        <v>25</v>
      </c>
      <c r="O84" s="92">
        <v>6</v>
      </c>
      <c r="P84" s="92">
        <v>1</v>
      </c>
      <c r="Q84" s="92"/>
    </row>
    <row r="85" spans="1:17" x14ac:dyDescent="0.2">
      <c r="A85" s="93" t="s">
        <v>206</v>
      </c>
      <c r="B85" s="92">
        <v>3.4</v>
      </c>
      <c r="C85" s="92">
        <v>4.3</v>
      </c>
      <c r="D85" s="92">
        <v>4.9000000000000004</v>
      </c>
      <c r="E85" s="92">
        <v>2.2999999999999998</v>
      </c>
      <c r="F85" s="92">
        <v>1.1000000000000001</v>
      </c>
      <c r="G85" s="92">
        <v>51</v>
      </c>
      <c r="H85" s="92">
        <v>26</v>
      </c>
      <c r="I85" s="92">
        <v>3.4</v>
      </c>
      <c r="J85" s="92">
        <v>10</v>
      </c>
      <c r="K85" s="92">
        <v>10</v>
      </c>
      <c r="L85" s="92">
        <v>39</v>
      </c>
      <c r="M85" s="92">
        <v>12.5</v>
      </c>
      <c r="N85" s="92">
        <v>19.3</v>
      </c>
      <c r="O85" s="92">
        <v>5</v>
      </c>
      <c r="P85" s="92">
        <v>1</v>
      </c>
      <c r="Q85" s="92">
        <v>1.2</v>
      </c>
    </row>
    <row r="86" spans="1:17" x14ac:dyDescent="0.2">
      <c r="A86" s="93" t="s">
        <v>207</v>
      </c>
      <c r="B86" s="92">
        <v>2.1</v>
      </c>
      <c r="C86" s="92">
        <v>2.8</v>
      </c>
      <c r="D86" s="92">
        <v>3.4</v>
      </c>
      <c r="E86" s="92">
        <v>1.5</v>
      </c>
      <c r="F86" s="92">
        <v>0.7</v>
      </c>
      <c r="G86" s="92">
        <v>34</v>
      </c>
      <c r="H86" s="92">
        <v>17</v>
      </c>
      <c r="I86" s="92">
        <v>2.1</v>
      </c>
      <c r="J86" s="92">
        <v>6.7</v>
      </c>
      <c r="K86" s="92">
        <v>6.7</v>
      </c>
      <c r="L86" s="92">
        <v>23</v>
      </c>
      <c r="M86" s="92">
        <v>8.4</v>
      </c>
      <c r="N86" s="92">
        <v>12.9</v>
      </c>
      <c r="O86" s="92">
        <v>3.2</v>
      </c>
      <c r="P86" s="92">
        <v>1</v>
      </c>
      <c r="Q86" s="92">
        <v>0.9</v>
      </c>
    </row>
    <row r="87" spans="1:17" x14ac:dyDescent="0.2">
      <c r="A87" s="93" t="s">
        <v>208</v>
      </c>
      <c r="B87" s="92">
        <v>1.6</v>
      </c>
      <c r="C87" s="92">
        <v>2.1</v>
      </c>
      <c r="D87" s="92">
        <v>2.5</v>
      </c>
      <c r="E87" s="92">
        <v>1.2</v>
      </c>
      <c r="F87" s="92">
        <v>0.5</v>
      </c>
      <c r="G87" s="92">
        <v>26</v>
      </c>
      <c r="H87" s="92">
        <v>13</v>
      </c>
      <c r="I87" s="92">
        <v>1.6</v>
      </c>
      <c r="J87" s="92">
        <v>5.2</v>
      </c>
      <c r="K87" s="92">
        <v>5.2</v>
      </c>
      <c r="L87" s="92">
        <v>20</v>
      </c>
      <c r="M87" s="92">
        <v>6.3</v>
      </c>
      <c r="N87" s="92">
        <v>9.6999999999999993</v>
      </c>
      <c r="O87" s="92">
        <v>2.2000000000000002</v>
      </c>
      <c r="P87" s="92">
        <v>1</v>
      </c>
      <c r="Q87" s="92">
        <v>0.8</v>
      </c>
    </row>
    <row r="88" spans="1:17" x14ac:dyDescent="0.2">
      <c r="A88" s="93" t="s">
        <v>209</v>
      </c>
      <c r="B88" s="92">
        <v>1.3</v>
      </c>
      <c r="C88" s="92">
        <v>1.7</v>
      </c>
      <c r="D88" s="92">
        <v>2</v>
      </c>
      <c r="E88" s="92">
        <v>0.9</v>
      </c>
      <c r="F88" s="92">
        <v>0.4</v>
      </c>
      <c r="G88" s="92">
        <v>21</v>
      </c>
      <c r="H88" s="92">
        <v>10</v>
      </c>
      <c r="I88" s="92">
        <v>1.3</v>
      </c>
      <c r="J88" s="92">
        <v>4.3</v>
      </c>
      <c r="K88" s="92">
        <v>4.3</v>
      </c>
      <c r="L88" s="92">
        <v>17</v>
      </c>
      <c r="M88" s="92">
        <v>5.2</v>
      </c>
      <c r="N88" s="92">
        <v>8.1</v>
      </c>
      <c r="O88" s="92">
        <v>1.9</v>
      </c>
      <c r="P88" s="92">
        <v>1</v>
      </c>
      <c r="Q88" s="92">
        <v>0.7</v>
      </c>
    </row>
    <row r="89" spans="1:17" x14ac:dyDescent="0.2">
      <c r="A89" s="93" t="s">
        <v>210</v>
      </c>
      <c r="B89" s="92">
        <v>1.1000000000000001</v>
      </c>
      <c r="C89" s="92">
        <v>1.4</v>
      </c>
      <c r="D89" s="92">
        <v>1.7</v>
      </c>
      <c r="E89" s="92">
        <v>0.8</v>
      </c>
      <c r="F89" s="92">
        <v>0.4</v>
      </c>
      <c r="G89" s="92">
        <v>17.399999999999999</v>
      </c>
      <c r="H89" s="92">
        <v>8.5</v>
      </c>
      <c r="I89" s="92">
        <v>1.1000000000000001</v>
      </c>
      <c r="J89" s="92">
        <v>3.5</v>
      </c>
      <c r="K89" s="92">
        <v>3.5</v>
      </c>
      <c r="L89" s="92">
        <v>14</v>
      </c>
      <c r="M89" s="92">
        <v>4.2</v>
      </c>
      <c r="N89" s="92">
        <v>6.4</v>
      </c>
      <c r="O89" s="92">
        <v>1.5</v>
      </c>
      <c r="P89" s="92">
        <v>1</v>
      </c>
      <c r="Q89" s="92">
        <v>0.6</v>
      </c>
    </row>
    <row r="90" spans="1:17" x14ac:dyDescent="0.2">
      <c r="A90" s="93" t="s">
        <v>211</v>
      </c>
      <c r="B90" s="92">
        <f t="shared" ref="B90:Q90" si="1">IF(OR($D79=8,$D79=6,$D79=4,$D79=3,$D79=2.5,$D79=2),IF($D79=8,B84*B83,IF($D79=6,B85*B83,IF($D79=4,B86*B83,IF($D79=3,B87*B83,IF($D79=2.5,B88*B83,B89*B83))))),"")</f>
        <v>9.1</v>
      </c>
      <c r="C90" s="92">
        <f t="shared" si="1"/>
        <v>0</v>
      </c>
      <c r="D90" s="92">
        <f t="shared" si="1"/>
        <v>0</v>
      </c>
      <c r="E90" s="92">
        <f t="shared" si="1"/>
        <v>0</v>
      </c>
      <c r="F90" s="92">
        <f t="shared" si="1"/>
        <v>0.4</v>
      </c>
      <c r="G90" s="92">
        <f t="shared" si="1"/>
        <v>0</v>
      </c>
      <c r="H90" s="92">
        <f t="shared" si="1"/>
        <v>20</v>
      </c>
      <c r="I90" s="92">
        <f t="shared" si="1"/>
        <v>2.6</v>
      </c>
      <c r="J90" s="92">
        <f t="shared" si="1"/>
        <v>4.3</v>
      </c>
      <c r="K90" s="92">
        <f t="shared" si="1"/>
        <v>0</v>
      </c>
      <c r="L90" s="92">
        <f t="shared" si="1"/>
        <v>0</v>
      </c>
      <c r="M90" s="92">
        <f t="shared" si="1"/>
        <v>0</v>
      </c>
      <c r="N90" s="92">
        <f t="shared" si="1"/>
        <v>8.1</v>
      </c>
      <c r="O90" s="92">
        <f t="shared" si="1"/>
        <v>0</v>
      </c>
      <c r="P90" s="92">
        <f t="shared" si="1"/>
        <v>66</v>
      </c>
      <c r="Q90" s="92">
        <f t="shared" si="1"/>
        <v>0.7</v>
      </c>
    </row>
    <row r="92" spans="1:17" x14ac:dyDescent="0.2">
      <c r="A92" s="76" t="s">
        <v>212</v>
      </c>
      <c r="F92" s="90">
        <f>SUM(B90:O90)+Q90</f>
        <v>45.2</v>
      </c>
      <c r="I92" s="117" t="s">
        <v>213</v>
      </c>
      <c r="N92" s="117" t="s">
        <v>226</v>
      </c>
    </row>
    <row r="93" spans="1:17" x14ac:dyDescent="0.2">
      <c r="A93" s="76" t="s">
        <v>215</v>
      </c>
      <c r="F93" s="90">
        <f>P90</f>
        <v>66</v>
      </c>
      <c r="I93" s="76" t="s">
        <v>216</v>
      </c>
      <c r="N93" s="118" t="s">
        <v>227</v>
      </c>
    </row>
    <row r="94" spans="1:17" x14ac:dyDescent="0.2">
      <c r="A94" s="76" t="s">
        <v>218</v>
      </c>
      <c r="F94" s="76">
        <f>F93+F92</f>
        <v>111.2</v>
      </c>
      <c r="I94" s="118" t="s">
        <v>219</v>
      </c>
    </row>
    <row r="95" spans="1:17" x14ac:dyDescent="0.2">
      <c r="A95" s="76" t="s">
        <v>220</v>
      </c>
      <c r="F95" s="119">
        <f>(10.643*O80^1.85)/($G$27^1.85*F80^4.87)</f>
        <v>4.3570404847018455E-2</v>
      </c>
      <c r="G95" s="122"/>
      <c r="I95" s="118" t="s">
        <v>221</v>
      </c>
      <c r="J95" s="80"/>
      <c r="K95" s="80"/>
      <c r="L95" s="80"/>
      <c r="M95" s="80"/>
    </row>
    <row r="96" spans="1:17" x14ac:dyDescent="0.2">
      <c r="A96" s="76" t="s">
        <v>228</v>
      </c>
      <c r="F96" s="39">
        <f>F95*F94</f>
        <v>4.845029018988452</v>
      </c>
      <c r="G96" s="122"/>
      <c r="I96" s="118" t="s">
        <v>229</v>
      </c>
      <c r="J96" s="80"/>
      <c r="K96" s="80"/>
      <c r="L96" s="80"/>
      <c r="M96" s="80"/>
    </row>
    <row r="98" spans="1:17" s="104" customFormat="1" x14ac:dyDescent="0.2">
      <c r="A98" s="104" t="s">
        <v>224</v>
      </c>
      <c r="E98" s="105"/>
      <c r="F98" s="104" t="s">
        <v>230</v>
      </c>
    </row>
    <row r="99" spans="1:17" x14ac:dyDescent="0.2">
      <c r="A99" s="76" t="s">
        <v>202</v>
      </c>
      <c r="D99" s="106">
        <f>$N$10</f>
        <v>0</v>
      </c>
      <c r="E99" s="82" t="s">
        <v>142</v>
      </c>
      <c r="F99" s="107">
        <f>0.254*D99*100</f>
        <v>0</v>
      </c>
      <c r="K99" s="92" t="s">
        <v>231</v>
      </c>
      <c r="L99" s="108" t="s">
        <v>133</v>
      </c>
      <c r="M99" s="92" t="s">
        <v>134</v>
      </c>
      <c r="N99" s="92" t="s">
        <v>135</v>
      </c>
      <c r="O99" s="108" t="s">
        <v>136</v>
      </c>
    </row>
    <row r="100" spans="1:17" x14ac:dyDescent="0.2">
      <c r="E100" s="82" t="s">
        <v>203</v>
      </c>
      <c r="F100" s="93">
        <f>0.254*D99*100/1000</f>
        <v>0</v>
      </c>
      <c r="K100" s="109" t="str">
        <f>CONCATENATE("X",$F$17)</f>
        <v>X2</v>
      </c>
      <c r="L100" s="28">
        <f>$L$22</f>
        <v>260</v>
      </c>
      <c r="M100" s="110">
        <f>$M$22</f>
        <v>4.333333333333333</v>
      </c>
      <c r="N100" s="109">
        <f>$N$22</f>
        <v>15.600000000000001</v>
      </c>
      <c r="O100" s="92">
        <f>$O$22</f>
        <v>4.3333333333333331E-3</v>
      </c>
    </row>
    <row r="102" spans="1:17" x14ac:dyDescent="0.2">
      <c r="A102" s="111" t="s">
        <v>204</v>
      </c>
      <c r="B102" s="110">
        <v>1</v>
      </c>
      <c r="C102" s="92">
        <v>2</v>
      </c>
      <c r="D102" s="92">
        <v>3</v>
      </c>
      <c r="E102" s="92">
        <v>4</v>
      </c>
      <c r="F102" s="92">
        <v>5</v>
      </c>
      <c r="G102" s="92">
        <v>6</v>
      </c>
      <c r="H102" s="92">
        <v>7</v>
      </c>
      <c r="I102" s="92">
        <v>8</v>
      </c>
      <c r="J102" s="92">
        <v>9</v>
      </c>
      <c r="K102" s="92">
        <v>10</v>
      </c>
      <c r="L102" s="92">
        <v>11</v>
      </c>
      <c r="M102" s="92">
        <v>12</v>
      </c>
      <c r="N102" s="92">
        <v>13</v>
      </c>
      <c r="O102" s="92">
        <v>14</v>
      </c>
      <c r="P102" s="92">
        <v>15</v>
      </c>
      <c r="Q102" s="92">
        <v>16</v>
      </c>
    </row>
    <row r="103" spans="1:17" x14ac:dyDescent="0.2">
      <c r="A103" s="113" t="s">
        <v>143</v>
      </c>
      <c r="B103" s="114">
        <v>4</v>
      </c>
      <c r="C103" s="114"/>
      <c r="D103" s="114"/>
      <c r="E103" s="114"/>
      <c r="F103" s="114"/>
      <c r="G103" s="114"/>
      <c r="H103" s="114"/>
      <c r="I103" s="114"/>
      <c r="J103" s="114"/>
      <c r="K103" s="114"/>
      <c r="L103" s="114"/>
      <c r="M103" s="114"/>
      <c r="N103" s="114"/>
      <c r="O103" s="114"/>
      <c r="P103" s="115">
        <f>N9</f>
        <v>0</v>
      </c>
      <c r="Q103" s="114"/>
    </row>
    <row r="104" spans="1:17" x14ac:dyDescent="0.2">
      <c r="A104" s="93" t="s">
        <v>205</v>
      </c>
      <c r="B104" s="92">
        <v>4.3</v>
      </c>
      <c r="C104" s="92">
        <v>5.5</v>
      </c>
      <c r="D104" s="92">
        <v>6.4</v>
      </c>
      <c r="E104" s="92">
        <v>3</v>
      </c>
      <c r="F104" s="92">
        <v>1.4</v>
      </c>
      <c r="G104" s="92">
        <v>67</v>
      </c>
      <c r="H104" s="92">
        <v>34</v>
      </c>
      <c r="I104" s="92">
        <v>4.3</v>
      </c>
      <c r="J104" s="92">
        <v>13</v>
      </c>
      <c r="K104" s="92">
        <v>13</v>
      </c>
      <c r="L104" s="92">
        <v>52</v>
      </c>
      <c r="M104" s="92">
        <v>16</v>
      </c>
      <c r="N104" s="92">
        <v>25</v>
      </c>
      <c r="O104" s="92">
        <v>6</v>
      </c>
      <c r="P104" s="92">
        <v>1</v>
      </c>
      <c r="Q104" s="92"/>
    </row>
    <row r="105" spans="1:17" x14ac:dyDescent="0.2">
      <c r="A105" s="93" t="s">
        <v>206</v>
      </c>
      <c r="B105" s="92">
        <v>3.4</v>
      </c>
      <c r="C105" s="92">
        <v>4.3</v>
      </c>
      <c r="D105" s="92">
        <v>4.9000000000000004</v>
      </c>
      <c r="E105" s="92">
        <v>2.2999999999999998</v>
      </c>
      <c r="F105" s="92">
        <v>1.1000000000000001</v>
      </c>
      <c r="G105" s="92">
        <v>51</v>
      </c>
      <c r="H105" s="92">
        <v>26</v>
      </c>
      <c r="I105" s="92">
        <v>3.4</v>
      </c>
      <c r="J105" s="92">
        <v>10</v>
      </c>
      <c r="K105" s="92">
        <v>10</v>
      </c>
      <c r="L105" s="92">
        <v>39</v>
      </c>
      <c r="M105" s="92">
        <v>12.5</v>
      </c>
      <c r="N105" s="92">
        <v>19.3</v>
      </c>
      <c r="O105" s="92">
        <v>5</v>
      </c>
      <c r="P105" s="92">
        <v>1</v>
      </c>
      <c r="Q105" s="92">
        <v>1.2</v>
      </c>
    </row>
    <row r="106" spans="1:17" x14ac:dyDescent="0.2">
      <c r="A106" s="93" t="s">
        <v>207</v>
      </c>
      <c r="B106" s="92">
        <v>2.1</v>
      </c>
      <c r="C106" s="92">
        <v>2.8</v>
      </c>
      <c r="D106" s="92">
        <v>3.4</v>
      </c>
      <c r="E106" s="92">
        <v>1.5</v>
      </c>
      <c r="F106" s="92">
        <v>0.7</v>
      </c>
      <c r="G106" s="92">
        <v>34</v>
      </c>
      <c r="H106" s="92">
        <v>17</v>
      </c>
      <c r="I106" s="92">
        <v>2.1</v>
      </c>
      <c r="J106" s="92">
        <v>6.7</v>
      </c>
      <c r="K106" s="92">
        <v>6.7</v>
      </c>
      <c r="L106" s="92">
        <v>23</v>
      </c>
      <c r="M106" s="92">
        <v>8.4</v>
      </c>
      <c r="N106" s="92">
        <v>12.9</v>
      </c>
      <c r="O106" s="92">
        <v>3.2</v>
      </c>
      <c r="P106" s="92">
        <v>1</v>
      </c>
      <c r="Q106" s="92">
        <v>0.9</v>
      </c>
    </row>
    <row r="107" spans="1:17" x14ac:dyDescent="0.2">
      <c r="A107" s="93" t="s">
        <v>208</v>
      </c>
      <c r="B107" s="92">
        <v>1.6</v>
      </c>
      <c r="C107" s="92">
        <v>2.1</v>
      </c>
      <c r="D107" s="92">
        <v>2.5</v>
      </c>
      <c r="E107" s="92">
        <v>1.2</v>
      </c>
      <c r="F107" s="92">
        <v>0.5</v>
      </c>
      <c r="G107" s="92">
        <v>26</v>
      </c>
      <c r="H107" s="92">
        <v>13</v>
      </c>
      <c r="I107" s="92">
        <v>1.6</v>
      </c>
      <c r="J107" s="92">
        <v>5.2</v>
      </c>
      <c r="K107" s="92">
        <v>5.2</v>
      </c>
      <c r="L107" s="92">
        <v>20</v>
      </c>
      <c r="M107" s="92">
        <v>6.3</v>
      </c>
      <c r="N107" s="92">
        <v>9.6999999999999993</v>
      </c>
      <c r="O107" s="92">
        <v>2.2000000000000002</v>
      </c>
      <c r="P107" s="92">
        <v>1</v>
      </c>
      <c r="Q107" s="92">
        <v>0.8</v>
      </c>
    </row>
    <row r="108" spans="1:17" x14ac:dyDescent="0.2">
      <c r="A108" s="93" t="s">
        <v>209</v>
      </c>
      <c r="B108" s="92">
        <v>1.3</v>
      </c>
      <c r="C108" s="92">
        <v>1.7</v>
      </c>
      <c r="D108" s="92">
        <v>2</v>
      </c>
      <c r="E108" s="92">
        <v>0.9</v>
      </c>
      <c r="F108" s="92">
        <v>0.4</v>
      </c>
      <c r="G108" s="92">
        <v>21</v>
      </c>
      <c r="H108" s="92">
        <v>10</v>
      </c>
      <c r="I108" s="92">
        <v>1.3</v>
      </c>
      <c r="J108" s="92">
        <v>4.3</v>
      </c>
      <c r="K108" s="92">
        <v>4.3</v>
      </c>
      <c r="L108" s="92">
        <v>17</v>
      </c>
      <c r="M108" s="92">
        <v>5.2</v>
      </c>
      <c r="N108" s="92">
        <v>8.1</v>
      </c>
      <c r="O108" s="92">
        <v>1.9</v>
      </c>
      <c r="P108" s="92">
        <v>1</v>
      </c>
      <c r="Q108" s="92">
        <v>0.7</v>
      </c>
    </row>
    <row r="109" spans="1:17" x14ac:dyDescent="0.2">
      <c r="A109" s="93" t="s">
        <v>210</v>
      </c>
      <c r="B109" s="92">
        <v>1.1000000000000001</v>
      </c>
      <c r="C109" s="92">
        <v>1.4</v>
      </c>
      <c r="D109" s="92">
        <v>1.7</v>
      </c>
      <c r="E109" s="92">
        <v>0.8</v>
      </c>
      <c r="F109" s="92">
        <v>0.4</v>
      </c>
      <c r="G109" s="92">
        <v>17.399999999999999</v>
      </c>
      <c r="H109" s="92">
        <v>8.5</v>
      </c>
      <c r="I109" s="92">
        <v>1.1000000000000001</v>
      </c>
      <c r="J109" s="92">
        <v>3.5</v>
      </c>
      <c r="K109" s="92">
        <v>3.5</v>
      </c>
      <c r="L109" s="92">
        <v>14</v>
      </c>
      <c r="M109" s="92">
        <v>4.2</v>
      </c>
      <c r="N109" s="92">
        <v>6.4</v>
      </c>
      <c r="O109" s="92">
        <v>1.5</v>
      </c>
      <c r="P109" s="92">
        <v>1</v>
      </c>
      <c r="Q109" s="92">
        <v>0.6</v>
      </c>
    </row>
    <row r="110" spans="1:17" x14ac:dyDescent="0.2">
      <c r="A110" s="93" t="s">
        <v>211</v>
      </c>
      <c r="B110" s="92" t="str">
        <f>IF(OR($D99=8,$D99=6,$D99=4,$D99=3,$D99=2.5,$D99=2),IF($D99=8,B104*B103,IF($D99=6,B105*B103,IF($D99=4,B106*B103,IF($D99=3,B107*B103,IF($D99=2.5,B108*B103,B109*B103))))),"")</f>
        <v/>
      </c>
      <c r="C110" s="92" t="str">
        <f t="shared" ref="C110:Q110" si="2">IF(OR($D99=8,$D99=6,$D99=4,$D99=3,$D99=2.5,$D99=2),IF($D99=8,C104*C103,IF($D99=6,C105*C103,IF($D99=4,C106*C103,IF($D99=3,C107*C103,IF($D99=2.5,C108*C103,C109*C103))))),"")</f>
        <v/>
      </c>
      <c r="D110" s="92" t="str">
        <f t="shared" si="2"/>
        <v/>
      </c>
      <c r="E110" s="92" t="str">
        <f t="shared" si="2"/>
        <v/>
      </c>
      <c r="F110" s="92" t="str">
        <f t="shared" si="2"/>
        <v/>
      </c>
      <c r="G110" s="92" t="str">
        <f t="shared" si="2"/>
        <v/>
      </c>
      <c r="H110" s="92" t="str">
        <f t="shared" si="2"/>
        <v/>
      </c>
      <c r="I110" s="92" t="str">
        <f t="shared" si="2"/>
        <v/>
      </c>
      <c r="J110" s="92" t="str">
        <f t="shared" si="2"/>
        <v/>
      </c>
      <c r="K110" s="92" t="str">
        <f t="shared" si="2"/>
        <v/>
      </c>
      <c r="L110" s="92" t="str">
        <f t="shared" si="2"/>
        <v/>
      </c>
      <c r="M110" s="92" t="str">
        <f t="shared" si="2"/>
        <v/>
      </c>
      <c r="N110" s="92" t="str">
        <f t="shared" si="2"/>
        <v/>
      </c>
      <c r="O110" s="92" t="str">
        <f t="shared" si="2"/>
        <v/>
      </c>
      <c r="P110" s="92" t="str">
        <f t="shared" si="2"/>
        <v/>
      </c>
      <c r="Q110" s="92" t="str">
        <f t="shared" si="2"/>
        <v/>
      </c>
    </row>
    <row r="111" spans="1:17" x14ac:dyDescent="0.2">
      <c r="Q111" s="123"/>
    </row>
    <row r="112" spans="1:17" x14ac:dyDescent="0.2">
      <c r="A112" s="76" t="s">
        <v>212</v>
      </c>
      <c r="F112" s="90" t="e">
        <f>IF(SUM(B110:O110)+Q110=0,"",SUM(B110:O110)+Q110)</f>
        <v>#VALUE!</v>
      </c>
      <c r="I112" s="117" t="s">
        <v>213</v>
      </c>
      <c r="N112" s="117" t="s">
        <v>226</v>
      </c>
    </row>
    <row r="113" spans="1:17" x14ac:dyDescent="0.2">
      <c r="A113" s="76" t="s">
        <v>215</v>
      </c>
      <c r="F113" s="90" t="str">
        <f>P110</f>
        <v/>
      </c>
      <c r="I113" s="76" t="s">
        <v>216</v>
      </c>
      <c r="N113" s="118" t="s">
        <v>227</v>
      </c>
    </row>
    <row r="114" spans="1:17" x14ac:dyDescent="0.2">
      <c r="A114" s="76" t="s">
        <v>218</v>
      </c>
      <c r="F114" s="76" t="e">
        <f>F113+F112</f>
        <v>#VALUE!</v>
      </c>
      <c r="I114" s="118" t="s">
        <v>219</v>
      </c>
    </row>
    <row r="115" spans="1:17" s="80" customFormat="1" x14ac:dyDescent="0.2">
      <c r="A115" s="76" t="s">
        <v>220</v>
      </c>
      <c r="B115" s="76"/>
      <c r="C115" s="76"/>
      <c r="D115" s="76"/>
      <c r="E115" s="76"/>
      <c r="F115" s="119" t="e">
        <f>(10.643*O100^1.85)/($G$27^1.85*F100^4.87)</f>
        <v>#DIV/0!</v>
      </c>
      <c r="I115" s="118" t="s">
        <v>221</v>
      </c>
      <c r="N115" s="76"/>
    </row>
    <row r="116" spans="1:17" s="80" customFormat="1" x14ac:dyDescent="0.2">
      <c r="A116" s="76" t="s">
        <v>228</v>
      </c>
      <c r="F116" s="39">
        <f>IF(D99=0,0,F115*F114)</f>
        <v>0</v>
      </c>
      <c r="I116" s="118" t="s">
        <v>229</v>
      </c>
      <c r="N116" s="76"/>
    </row>
    <row r="118" spans="1:17" s="104" customFormat="1" x14ac:dyDescent="0.2">
      <c r="A118" s="104" t="s">
        <v>224</v>
      </c>
      <c r="E118" s="105"/>
      <c r="F118" s="104" t="s">
        <v>232</v>
      </c>
    </row>
    <row r="119" spans="1:17" x14ac:dyDescent="0.2">
      <c r="A119" s="76" t="s">
        <v>202</v>
      </c>
      <c r="D119" s="106">
        <f>$I$13</f>
        <v>0</v>
      </c>
      <c r="E119" s="82" t="s">
        <v>142</v>
      </c>
      <c r="F119" s="107">
        <f>0.254*D119*100</f>
        <v>0</v>
      </c>
      <c r="K119" s="92" t="s">
        <v>231</v>
      </c>
      <c r="L119" s="108" t="s">
        <v>133</v>
      </c>
      <c r="M119" s="92" t="s">
        <v>134</v>
      </c>
      <c r="N119" s="92" t="s">
        <v>135</v>
      </c>
      <c r="O119" s="108" t="s">
        <v>136</v>
      </c>
    </row>
    <row r="120" spans="1:17" x14ac:dyDescent="0.2">
      <c r="E120" s="82" t="s">
        <v>203</v>
      </c>
      <c r="F120" s="93">
        <f>0.254*D119*100/1000</f>
        <v>0</v>
      </c>
      <c r="K120" s="109" t="str">
        <f>CONCATENATE("X",$F$17)</f>
        <v>X2</v>
      </c>
      <c r="L120" s="28">
        <f>$L$22</f>
        <v>260</v>
      </c>
      <c r="M120" s="110">
        <f>$M$22</f>
        <v>4.333333333333333</v>
      </c>
      <c r="N120" s="109">
        <f>$N$22</f>
        <v>15.600000000000001</v>
      </c>
      <c r="O120" s="92">
        <f>$O$22</f>
        <v>4.3333333333333331E-3</v>
      </c>
    </row>
    <row r="122" spans="1:17" x14ac:dyDescent="0.2">
      <c r="A122" s="111" t="s">
        <v>204</v>
      </c>
      <c r="B122" s="110">
        <v>1</v>
      </c>
      <c r="C122" s="92">
        <v>2</v>
      </c>
      <c r="D122" s="92">
        <v>3</v>
      </c>
      <c r="E122" s="92">
        <v>4</v>
      </c>
      <c r="F122" s="92">
        <v>5</v>
      </c>
      <c r="G122" s="92">
        <v>6</v>
      </c>
      <c r="H122" s="92">
        <v>7</v>
      </c>
      <c r="I122" s="92">
        <v>8</v>
      </c>
      <c r="J122" s="92">
        <v>9</v>
      </c>
      <c r="K122" s="92">
        <v>10</v>
      </c>
      <c r="L122" s="92">
        <v>11</v>
      </c>
      <c r="M122" s="92">
        <v>12</v>
      </c>
      <c r="N122" s="92">
        <v>13</v>
      </c>
      <c r="O122" s="92">
        <v>14</v>
      </c>
      <c r="P122" s="92">
        <v>15</v>
      </c>
      <c r="Q122" s="92">
        <v>16</v>
      </c>
    </row>
    <row r="123" spans="1:17" x14ac:dyDescent="0.2">
      <c r="A123" s="113" t="s">
        <v>143</v>
      </c>
      <c r="B123" s="114">
        <v>4</v>
      </c>
      <c r="C123" s="114"/>
      <c r="D123" s="114"/>
      <c r="E123" s="114"/>
      <c r="F123" s="114"/>
      <c r="G123" s="114"/>
      <c r="H123" s="114">
        <v>2</v>
      </c>
      <c r="I123" s="114"/>
      <c r="J123" s="114">
        <v>1</v>
      </c>
      <c r="K123" s="114"/>
      <c r="L123" s="114"/>
      <c r="M123" s="114"/>
      <c r="N123" s="114"/>
      <c r="O123" s="114"/>
      <c r="P123" s="115">
        <f>I12</f>
        <v>0</v>
      </c>
      <c r="Q123" s="114">
        <v>1</v>
      </c>
    </row>
    <row r="124" spans="1:17" x14ac:dyDescent="0.2">
      <c r="A124" s="93" t="s">
        <v>205</v>
      </c>
      <c r="B124" s="92">
        <v>4.3</v>
      </c>
      <c r="C124" s="92">
        <v>5.5</v>
      </c>
      <c r="D124" s="92">
        <v>6.4</v>
      </c>
      <c r="E124" s="92">
        <v>3</v>
      </c>
      <c r="F124" s="92">
        <v>1.4</v>
      </c>
      <c r="G124" s="92">
        <v>67</v>
      </c>
      <c r="H124" s="92">
        <v>34</v>
      </c>
      <c r="I124" s="92">
        <v>4.3</v>
      </c>
      <c r="J124" s="92">
        <v>13</v>
      </c>
      <c r="K124" s="92">
        <v>13</v>
      </c>
      <c r="L124" s="92">
        <v>52</v>
      </c>
      <c r="M124" s="92">
        <v>16</v>
      </c>
      <c r="N124" s="92">
        <v>25</v>
      </c>
      <c r="O124" s="92">
        <v>6</v>
      </c>
      <c r="P124" s="92">
        <v>1</v>
      </c>
      <c r="Q124" s="92"/>
    </row>
    <row r="125" spans="1:17" x14ac:dyDescent="0.2">
      <c r="A125" s="93" t="s">
        <v>206</v>
      </c>
      <c r="B125" s="92">
        <v>3.4</v>
      </c>
      <c r="C125" s="92">
        <v>4.3</v>
      </c>
      <c r="D125" s="92">
        <v>4.9000000000000004</v>
      </c>
      <c r="E125" s="92">
        <v>2.2999999999999998</v>
      </c>
      <c r="F125" s="92">
        <v>1.1000000000000001</v>
      </c>
      <c r="G125" s="92">
        <v>51</v>
      </c>
      <c r="H125" s="92">
        <v>26</v>
      </c>
      <c r="I125" s="92">
        <v>3.4</v>
      </c>
      <c r="J125" s="92">
        <v>10</v>
      </c>
      <c r="K125" s="92">
        <v>10</v>
      </c>
      <c r="L125" s="92">
        <v>39</v>
      </c>
      <c r="M125" s="92">
        <v>12.5</v>
      </c>
      <c r="N125" s="92">
        <v>19.3</v>
      </c>
      <c r="O125" s="92">
        <v>5</v>
      </c>
      <c r="P125" s="92">
        <v>1</v>
      </c>
      <c r="Q125" s="92">
        <v>1.2</v>
      </c>
    </row>
    <row r="126" spans="1:17" x14ac:dyDescent="0.2">
      <c r="A126" s="93" t="s">
        <v>207</v>
      </c>
      <c r="B126" s="92">
        <v>2.1</v>
      </c>
      <c r="C126" s="92">
        <v>2.8</v>
      </c>
      <c r="D126" s="92">
        <v>3.4</v>
      </c>
      <c r="E126" s="92">
        <v>1.5</v>
      </c>
      <c r="F126" s="92">
        <v>0.7</v>
      </c>
      <c r="G126" s="92">
        <v>34</v>
      </c>
      <c r="H126" s="92">
        <v>17</v>
      </c>
      <c r="I126" s="92">
        <v>2.1</v>
      </c>
      <c r="J126" s="92">
        <v>6.7</v>
      </c>
      <c r="K126" s="92">
        <v>6.7</v>
      </c>
      <c r="L126" s="92">
        <v>23</v>
      </c>
      <c r="M126" s="92">
        <v>8.4</v>
      </c>
      <c r="N126" s="92">
        <v>12.9</v>
      </c>
      <c r="O126" s="92">
        <v>3.2</v>
      </c>
      <c r="P126" s="92">
        <v>1</v>
      </c>
      <c r="Q126" s="92">
        <v>0.9</v>
      </c>
    </row>
    <row r="127" spans="1:17" x14ac:dyDescent="0.2">
      <c r="A127" s="93" t="s">
        <v>208</v>
      </c>
      <c r="B127" s="92">
        <v>1.6</v>
      </c>
      <c r="C127" s="92">
        <v>2.1</v>
      </c>
      <c r="D127" s="92">
        <v>2.5</v>
      </c>
      <c r="E127" s="92">
        <v>1.2</v>
      </c>
      <c r="F127" s="92">
        <v>0.5</v>
      </c>
      <c r="G127" s="92">
        <v>26</v>
      </c>
      <c r="H127" s="92">
        <v>13</v>
      </c>
      <c r="I127" s="92">
        <v>1.6</v>
      </c>
      <c r="J127" s="92">
        <v>5.2</v>
      </c>
      <c r="K127" s="92">
        <v>5.2</v>
      </c>
      <c r="L127" s="92">
        <v>20</v>
      </c>
      <c r="M127" s="92">
        <v>6.3</v>
      </c>
      <c r="N127" s="92">
        <v>9.6999999999999993</v>
      </c>
      <c r="O127" s="92">
        <v>2.2000000000000002</v>
      </c>
      <c r="P127" s="92">
        <v>1</v>
      </c>
      <c r="Q127" s="92">
        <v>0.8</v>
      </c>
    </row>
    <row r="128" spans="1:17" x14ac:dyDescent="0.2">
      <c r="A128" s="93" t="s">
        <v>209</v>
      </c>
      <c r="B128" s="92">
        <v>1.3</v>
      </c>
      <c r="C128" s="92">
        <v>1.7</v>
      </c>
      <c r="D128" s="92">
        <v>2</v>
      </c>
      <c r="E128" s="92">
        <v>0.9</v>
      </c>
      <c r="F128" s="92">
        <v>0.4</v>
      </c>
      <c r="G128" s="92">
        <v>21</v>
      </c>
      <c r="H128" s="92">
        <v>10</v>
      </c>
      <c r="I128" s="92">
        <v>1.3</v>
      </c>
      <c r="J128" s="92">
        <v>4.3</v>
      </c>
      <c r="K128" s="92">
        <v>4.3</v>
      </c>
      <c r="L128" s="92">
        <v>17</v>
      </c>
      <c r="M128" s="92">
        <v>5.2</v>
      </c>
      <c r="N128" s="92">
        <v>8.1</v>
      </c>
      <c r="O128" s="92">
        <v>1.9</v>
      </c>
      <c r="P128" s="92">
        <v>1</v>
      </c>
      <c r="Q128" s="92">
        <v>0.7</v>
      </c>
    </row>
    <row r="129" spans="1:17" x14ac:dyDescent="0.2">
      <c r="A129" s="93" t="s">
        <v>210</v>
      </c>
      <c r="B129" s="92">
        <v>1.1000000000000001</v>
      </c>
      <c r="C129" s="92">
        <v>1.4</v>
      </c>
      <c r="D129" s="92">
        <v>1.7</v>
      </c>
      <c r="E129" s="92">
        <v>0.8</v>
      </c>
      <c r="F129" s="92">
        <v>0.4</v>
      </c>
      <c r="G129" s="92">
        <v>17.399999999999999</v>
      </c>
      <c r="H129" s="92">
        <v>8.5</v>
      </c>
      <c r="I129" s="92">
        <v>1.1000000000000001</v>
      </c>
      <c r="J129" s="92">
        <v>3.5</v>
      </c>
      <c r="K129" s="92">
        <v>3.5</v>
      </c>
      <c r="L129" s="92">
        <v>14</v>
      </c>
      <c r="M129" s="92">
        <v>4.2</v>
      </c>
      <c r="N129" s="92">
        <v>6.4</v>
      </c>
      <c r="O129" s="92">
        <v>1.5</v>
      </c>
      <c r="P129" s="92">
        <v>1</v>
      </c>
      <c r="Q129" s="92">
        <v>0.6</v>
      </c>
    </row>
    <row r="130" spans="1:17" x14ac:dyDescent="0.2">
      <c r="A130" s="93" t="s">
        <v>211</v>
      </c>
      <c r="B130" s="92" t="str">
        <f t="shared" ref="B130:Q130" si="3">IF(OR($D119=8,$D119=6,$D119=4,$D119=3,$D119=2.5),IF($D119=8,B124*B123,IF($D119=6,B125*B123,IF($D119=4,B126*B123,IF($D119=3,B127*B123,B128*B123)))),"")</f>
        <v/>
      </c>
      <c r="C130" s="92" t="str">
        <f t="shared" si="3"/>
        <v/>
      </c>
      <c r="D130" s="92" t="str">
        <f t="shared" si="3"/>
        <v/>
      </c>
      <c r="E130" s="92" t="str">
        <f t="shared" si="3"/>
        <v/>
      </c>
      <c r="F130" s="92" t="str">
        <f t="shared" si="3"/>
        <v/>
      </c>
      <c r="G130" s="92" t="str">
        <f t="shared" si="3"/>
        <v/>
      </c>
      <c r="H130" s="92" t="str">
        <f t="shared" si="3"/>
        <v/>
      </c>
      <c r="I130" s="92" t="str">
        <f t="shared" si="3"/>
        <v/>
      </c>
      <c r="J130" s="92" t="str">
        <f t="shared" si="3"/>
        <v/>
      </c>
      <c r="K130" s="92" t="str">
        <f t="shared" si="3"/>
        <v/>
      </c>
      <c r="L130" s="92" t="str">
        <f t="shared" si="3"/>
        <v/>
      </c>
      <c r="M130" s="92" t="str">
        <f t="shared" si="3"/>
        <v/>
      </c>
      <c r="N130" s="92" t="str">
        <f t="shared" si="3"/>
        <v/>
      </c>
      <c r="O130" s="92" t="str">
        <f t="shared" si="3"/>
        <v/>
      </c>
      <c r="P130" s="92" t="str">
        <f t="shared" si="3"/>
        <v/>
      </c>
      <c r="Q130" s="92" t="str">
        <f t="shared" si="3"/>
        <v/>
      </c>
    </row>
    <row r="131" spans="1:17" x14ac:dyDescent="0.2">
      <c r="Q131" s="123"/>
    </row>
    <row r="132" spans="1:17" x14ac:dyDescent="0.2">
      <c r="A132" s="76" t="s">
        <v>212</v>
      </c>
      <c r="F132" s="90" t="e">
        <f>SUM(B130:O130)+Q130</f>
        <v>#VALUE!</v>
      </c>
      <c r="I132" s="117" t="s">
        <v>213</v>
      </c>
      <c r="N132" s="117" t="s">
        <v>226</v>
      </c>
    </row>
    <row r="133" spans="1:17" x14ac:dyDescent="0.2">
      <c r="A133" s="76" t="s">
        <v>215</v>
      </c>
      <c r="F133" s="90" t="str">
        <f>P130</f>
        <v/>
      </c>
      <c r="I133" s="76" t="s">
        <v>216</v>
      </c>
      <c r="N133" s="118" t="s">
        <v>227</v>
      </c>
    </row>
    <row r="134" spans="1:17" x14ac:dyDescent="0.2">
      <c r="A134" s="76" t="s">
        <v>218</v>
      </c>
      <c r="F134" s="76" t="e">
        <f>F133+F132</f>
        <v>#VALUE!</v>
      </c>
      <c r="I134" s="118" t="s">
        <v>219</v>
      </c>
    </row>
    <row r="135" spans="1:17" s="80" customFormat="1" x14ac:dyDescent="0.2">
      <c r="A135" s="76" t="s">
        <v>220</v>
      </c>
      <c r="B135" s="76"/>
      <c r="C135" s="76"/>
      <c r="D135" s="76"/>
      <c r="E135" s="76"/>
      <c r="F135" s="119" t="e">
        <f>(10.643*O120^1.85)/($G$27^1.85*F120^4.87)</f>
        <v>#DIV/0!</v>
      </c>
      <c r="I135" s="118" t="s">
        <v>221</v>
      </c>
      <c r="N135" s="76"/>
    </row>
    <row r="136" spans="1:17" s="80" customFormat="1" x14ac:dyDescent="0.2">
      <c r="A136" s="76" t="s">
        <v>228</v>
      </c>
      <c r="F136" s="39">
        <f>IF(D119=0,0,F135*F134)</f>
        <v>0</v>
      </c>
      <c r="I136" s="118" t="s">
        <v>229</v>
      </c>
      <c r="N136" s="76"/>
    </row>
    <row r="138" spans="1:17" s="104" customFormat="1" x14ac:dyDescent="0.2">
      <c r="A138" s="104" t="s">
        <v>224</v>
      </c>
      <c r="E138" s="105"/>
      <c r="F138" s="104" t="s">
        <v>233</v>
      </c>
    </row>
    <row r="139" spans="1:17" x14ac:dyDescent="0.2">
      <c r="A139" s="76" t="s">
        <v>202</v>
      </c>
      <c r="D139" s="106">
        <f>$N$13</f>
        <v>0</v>
      </c>
      <c r="E139" s="82" t="s">
        <v>142</v>
      </c>
      <c r="F139" s="107">
        <f>0.254*D139*100</f>
        <v>0</v>
      </c>
      <c r="K139" s="92" t="s">
        <v>231</v>
      </c>
      <c r="L139" s="108" t="s">
        <v>133</v>
      </c>
      <c r="M139" s="92" t="s">
        <v>134</v>
      </c>
      <c r="N139" s="92" t="s">
        <v>135</v>
      </c>
      <c r="O139" s="108" t="s">
        <v>136</v>
      </c>
    </row>
    <row r="140" spans="1:17" x14ac:dyDescent="0.2">
      <c r="E140" s="82" t="s">
        <v>203</v>
      </c>
      <c r="F140" s="93">
        <f>0.254*D139*100/1000</f>
        <v>0</v>
      </c>
      <c r="K140" s="109" t="str">
        <f>CONCATENATE("X",$F$17)</f>
        <v>X2</v>
      </c>
      <c r="L140" s="28">
        <f>$L$22</f>
        <v>260</v>
      </c>
      <c r="M140" s="110">
        <f>$M$22</f>
        <v>4.333333333333333</v>
      </c>
      <c r="N140" s="109">
        <f>$N$22</f>
        <v>15.600000000000001</v>
      </c>
      <c r="O140" s="92">
        <f>$O$22</f>
        <v>4.3333333333333331E-3</v>
      </c>
    </row>
    <row r="142" spans="1:17" x14ac:dyDescent="0.2">
      <c r="A142" s="111" t="s">
        <v>204</v>
      </c>
      <c r="B142" s="110">
        <v>1</v>
      </c>
      <c r="C142" s="92">
        <v>2</v>
      </c>
      <c r="D142" s="92">
        <v>3</v>
      </c>
      <c r="E142" s="92">
        <v>4</v>
      </c>
      <c r="F142" s="92">
        <v>5</v>
      </c>
      <c r="G142" s="92">
        <v>6</v>
      </c>
      <c r="H142" s="92">
        <v>7</v>
      </c>
      <c r="I142" s="92">
        <v>8</v>
      </c>
      <c r="J142" s="92">
        <v>9</v>
      </c>
      <c r="K142" s="92">
        <v>10</v>
      </c>
      <c r="L142" s="92">
        <v>11</v>
      </c>
      <c r="M142" s="92">
        <v>12</v>
      </c>
      <c r="N142" s="92">
        <v>13</v>
      </c>
      <c r="O142" s="92">
        <v>14</v>
      </c>
      <c r="P142" s="92">
        <v>15</v>
      </c>
    </row>
    <row r="143" spans="1:17" x14ac:dyDescent="0.2">
      <c r="A143" s="113" t="s">
        <v>143</v>
      </c>
      <c r="B143" s="114">
        <v>7</v>
      </c>
      <c r="C143" s="114">
        <v>0</v>
      </c>
      <c r="D143" s="114">
        <v>0</v>
      </c>
      <c r="E143" s="114">
        <v>0</v>
      </c>
      <c r="F143" s="114">
        <v>1</v>
      </c>
      <c r="G143" s="114">
        <v>0</v>
      </c>
      <c r="H143" s="114">
        <v>2</v>
      </c>
      <c r="I143" s="114">
        <v>0</v>
      </c>
      <c r="J143" s="114">
        <v>2</v>
      </c>
      <c r="K143" s="114">
        <v>0</v>
      </c>
      <c r="L143" s="114">
        <v>0</v>
      </c>
      <c r="M143" s="114">
        <v>1</v>
      </c>
      <c r="N143" s="114">
        <v>0</v>
      </c>
      <c r="O143" s="114">
        <v>0</v>
      </c>
      <c r="P143" s="115">
        <f>N12</f>
        <v>0</v>
      </c>
    </row>
    <row r="144" spans="1:17" x14ac:dyDescent="0.2">
      <c r="A144" s="93" t="s">
        <v>205</v>
      </c>
      <c r="B144" s="92">
        <v>4.3</v>
      </c>
      <c r="C144" s="92">
        <v>5.5</v>
      </c>
      <c r="D144" s="92">
        <v>6.4</v>
      </c>
      <c r="E144" s="92">
        <v>3</v>
      </c>
      <c r="F144" s="92">
        <v>1.4</v>
      </c>
      <c r="G144" s="92">
        <v>67</v>
      </c>
      <c r="H144" s="92">
        <v>34</v>
      </c>
      <c r="I144" s="92">
        <v>4.3</v>
      </c>
      <c r="J144" s="92">
        <v>13</v>
      </c>
      <c r="K144" s="92">
        <v>13</v>
      </c>
      <c r="L144" s="92">
        <v>52</v>
      </c>
      <c r="M144" s="92">
        <v>16</v>
      </c>
      <c r="N144" s="92">
        <v>25</v>
      </c>
      <c r="O144" s="92">
        <v>6</v>
      </c>
      <c r="P144" s="92">
        <v>1</v>
      </c>
    </row>
    <row r="145" spans="1:18" x14ac:dyDescent="0.2">
      <c r="A145" s="93" t="s">
        <v>206</v>
      </c>
      <c r="B145" s="92">
        <v>3.4</v>
      </c>
      <c r="C145" s="92">
        <v>4.3</v>
      </c>
      <c r="D145" s="92">
        <v>4.9000000000000004</v>
      </c>
      <c r="E145" s="92">
        <v>2.2999999999999998</v>
      </c>
      <c r="F145" s="92">
        <v>1.1000000000000001</v>
      </c>
      <c r="G145" s="92">
        <v>51</v>
      </c>
      <c r="H145" s="92">
        <v>26</v>
      </c>
      <c r="I145" s="92">
        <v>3.4</v>
      </c>
      <c r="J145" s="92">
        <v>10</v>
      </c>
      <c r="K145" s="92">
        <v>10</v>
      </c>
      <c r="L145" s="92">
        <v>39</v>
      </c>
      <c r="M145" s="92">
        <v>12.5</v>
      </c>
      <c r="N145" s="92">
        <v>19.3</v>
      </c>
      <c r="O145" s="92">
        <v>5</v>
      </c>
      <c r="P145" s="92">
        <v>1</v>
      </c>
    </row>
    <row r="146" spans="1:18" x14ac:dyDescent="0.2">
      <c r="A146" s="93" t="s">
        <v>207</v>
      </c>
      <c r="B146" s="92">
        <v>2.1</v>
      </c>
      <c r="C146" s="92">
        <v>2.8</v>
      </c>
      <c r="D146" s="92">
        <v>3.4</v>
      </c>
      <c r="E146" s="92">
        <v>1.5</v>
      </c>
      <c r="F146" s="92">
        <v>0.7</v>
      </c>
      <c r="G146" s="92">
        <v>34</v>
      </c>
      <c r="H146" s="92">
        <v>17</v>
      </c>
      <c r="I146" s="92">
        <v>2.1</v>
      </c>
      <c r="J146" s="92">
        <v>6.7</v>
      </c>
      <c r="K146" s="92">
        <v>6.7</v>
      </c>
      <c r="L146" s="92">
        <v>23</v>
      </c>
      <c r="M146" s="92">
        <v>8.4</v>
      </c>
      <c r="N146" s="92">
        <v>12.9</v>
      </c>
      <c r="O146" s="92">
        <v>3.2</v>
      </c>
      <c r="P146" s="92">
        <v>1</v>
      </c>
    </row>
    <row r="147" spans="1:18" x14ac:dyDescent="0.2">
      <c r="A147" s="93" t="s">
        <v>208</v>
      </c>
      <c r="B147" s="92">
        <v>1.6</v>
      </c>
      <c r="C147" s="92">
        <v>2.1</v>
      </c>
      <c r="D147" s="92">
        <v>2.5</v>
      </c>
      <c r="E147" s="92">
        <v>1.2</v>
      </c>
      <c r="F147" s="92">
        <v>0.5</v>
      </c>
      <c r="G147" s="92">
        <v>26</v>
      </c>
      <c r="H147" s="92">
        <v>13</v>
      </c>
      <c r="I147" s="92">
        <v>1.6</v>
      </c>
      <c r="J147" s="92">
        <v>5.2</v>
      </c>
      <c r="K147" s="92">
        <v>5.2</v>
      </c>
      <c r="L147" s="92">
        <v>20</v>
      </c>
      <c r="M147" s="92">
        <v>6.3</v>
      </c>
      <c r="N147" s="92">
        <v>9.6999999999999993</v>
      </c>
      <c r="O147" s="92">
        <v>2.2000000000000002</v>
      </c>
      <c r="P147" s="92">
        <v>1</v>
      </c>
    </row>
    <row r="148" spans="1:18" x14ac:dyDescent="0.2">
      <c r="A148" s="93" t="s">
        <v>209</v>
      </c>
      <c r="B148" s="92">
        <v>1.3</v>
      </c>
      <c r="C148" s="92">
        <v>1.7</v>
      </c>
      <c r="D148" s="92">
        <v>2</v>
      </c>
      <c r="E148" s="92">
        <v>0.9</v>
      </c>
      <c r="F148" s="92">
        <v>0.4</v>
      </c>
      <c r="G148" s="92">
        <v>21</v>
      </c>
      <c r="H148" s="92">
        <v>10</v>
      </c>
      <c r="I148" s="92">
        <v>1.3</v>
      </c>
      <c r="J148" s="92">
        <v>4.3</v>
      </c>
      <c r="K148" s="92">
        <v>4.3</v>
      </c>
      <c r="L148" s="92">
        <v>17</v>
      </c>
      <c r="M148" s="92">
        <v>5.2</v>
      </c>
      <c r="N148" s="92">
        <v>8.1</v>
      </c>
      <c r="O148" s="92">
        <v>1.9</v>
      </c>
      <c r="P148" s="92">
        <v>1</v>
      </c>
    </row>
    <row r="149" spans="1:18" x14ac:dyDescent="0.2">
      <c r="A149" s="93" t="s">
        <v>211</v>
      </c>
      <c r="B149" s="92" t="str">
        <f t="shared" ref="B149:P149" si="4">IF(OR($D139=8,$D139=6,$D139=4,$D139=3,$D139=2.5),IF($D139=8,B144*B143,IF($D139=6,B145*B143,IF($D139=4,B146*B143,IF($D139=3,B147*B143,B148*B143)))),"")</f>
        <v/>
      </c>
      <c r="C149" s="92" t="str">
        <f t="shared" si="4"/>
        <v/>
      </c>
      <c r="D149" s="92" t="str">
        <f t="shared" si="4"/>
        <v/>
      </c>
      <c r="E149" s="92" t="str">
        <f t="shared" si="4"/>
        <v/>
      </c>
      <c r="F149" s="92" t="str">
        <f t="shared" si="4"/>
        <v/>
      </c>
      <c r="G149" s="92" t="str">
        <f t="shared" si="4"/>
        <v/>
      </c>
      <c r="H149" s="92" t="str">
        <f t="shared" si="4"/>
        <v/>
      </c>
      <c r="I149" s="92" t="str">
        <f t="shared" si="4"/>
        <v/>
      </c>
      <c r="J149" s="92" t="str">
        <f t="shared" si="4"/>
        <v/>
      </c>
      <c r="K149" s="92" t="str">
        <f t="shared" si="4"/>
        <v/>
      </c>
      <c r="L149" s="92" t="str">
        <f t="shared" si="4"/>
        <v/>
      </c>
      <c r="M149" s="92" t="str">
        <f t="shared" si="4"/>
        <v/>
      </c>
      <c r="N149" s="92" t="str">
        <f t="shared" si="4"/>
        <v/>
      </c>
      <c r="O149" s="92" t="str">
        <f t="shared" si="4"/>
        <v/>
      </c>
      <c r="P149" s="92" t="str">
        <f t="shared" si="4"/>
        <v/>
      </c>
    </row>
    <row r="151" spans="1:18" x14ac:dyDescent="0.2">
      <c r="A151" s="76" t="s">
        <v>212</v>
      </c>
      <c r="F151" s="90">
        <f>SUM(B149:O149)</f>
        <v>0</v>
      </c>
      <c r="I151" s="117" t="s">
        <v>213</v>
      </c>
      <c r="N151" s="117" t="s">
        <v>226</v>
      </c>
    </row>
    <row r="152" spans="1:18" x14ac:dyDescent="0.2">
      <c r="A152" s="76" t="s">
        <v>215</v>
      </c>
      <c r="F152" s="90" t="str">
        <f>P149</f>
        <v/>
      </c>
      <c r="I152" s="76" t="s">
        <v>216</v>
      </c>
      <c r="N152" s="118" t="s">
        <v>227</v>
      </c>
    </row>
    <row r="153" spans="1:18" x14ac:dyDescent="0.2">
      <c r="A153" s="76" t="s">
        <v>218</v>
      </c>
      <c r="F153" s="76" t="e">
        <f>F152+F151</f>
        <v>#VALUE!</v>
      </c>
      <c r="I153" s="118" t="s">
        <v>219</v>
      </c>
    </row>
    <row r="154" spans="1:18" s="80" customFormat="1" x14ac:dyDescent="0.2">
      <c r="A154" s="76" t="s">
        <v>220</v>
      </c>
      <c r="B154" s="76"/>
      <c r="C154" s="76"/>
      <c r="D154" s="76"/>
      <c r="E154" s="76"/>
      <c r="F154" s="119" t="e">
        <f>(10.643*O140^1.85)/($G$27^1.85*F140^4.87)</f>
        <v>#DIV/0!</v>
      </c>
      <c r="I154" s="118" t="s">
        <v>221</v>
      </c>
      <c r="N154" s="76"/>
    </row>
    <row r="155" spans="1:18" s="80" customFormat="1" x14ac:dyDescent="0.2">
      <c r="A155" s="76" t="s">
        <v>228</v>
      </c>
      <c r="F155" s="90">
        <f>IF(D139=0,0,F154*F153)</f>
        <v>0</v>
      </c>
      <c r="I155" s="118" t="s">
        <v>229</v>
      </c>
      <c r="N155" s="76"/>
    </row>
    <row r="157" spans="1:18" s="104" customFormat="1" x14ac:dyDescent="0.2">
      <c r="A157" s="104" t="s">
        <v>234</v>
      </c>
      <c r="B157" s="80"/>
      <c r="C157" s="80"/>
      <c r="D157" s="80"/>
      <c r="E157" s="80"/>
      <c r="F157" s="80"/>
      <c r="G157" s="39">
        <f>F155+F136+F116+F96</f>
        <v>4.845029018988452</v>
      </c>
      <c r="H157" s="125" t="s">
        <v>235</v>
      </c>
    </row>
    <row r="158" spans="1:18" x14ac:dyDescent="0.2">
      <c r="I158" s="126"/>
    </row>
    <row r="159" spans="1:18" ht="13.5" thickBot="1" x14ac:dyDescent="0.25">
      <c r="A159" s="104" t="s">
        <v>238</v>
      </c>
      <c r="I159" s="104" t="s">
        <v>239</v>
      </c>
      <c r="J159" s="87"/>
      <c r="K159" s="87"/>
      <c r="L159" s="87"/>
      <c r="M159" s="87"/>
      <c r="N159" s="92" t="s">
        <v>231</v>
      </c>
      <c r="O159" s="108" t="s">
        <v>133</v>
      </c>
      <c r="P159" s="92" t="s">
        <v>134</v>
      </c>
      <c r="Q159" s="92" t="s">
        <v>135</v>
      </c>
      <c r="R159" s="108" t="s">
        <v>136</v>
      </c>
    </row>
    <row r="160" spans="1:18" ht="13.5" thickBot="1" x14ac:dyDescent="0.25">
      <c r="A160" s="76" t="s">
        <v>240</v>
      </c>
      <c r="E160" s="128">
        <f>B22</f>
        <v>2.5</v>
      </c>
      <c r="F160" s="129">
        <f>(10.643*O21^1.85)/(B161^1.85*(B22*2.54/100)^4.87)</f>
        <v>9.0872932379705128E-3</v>
      </c>
      <c r="G160" s="130"/>
      <c r="I160" s="117" t="s">
        <v>241</v>
      </c>
      <c r="J160" s="87"/>
      <c r="K160" s="87"/>
      <c r="L160" s="87"/>
      <c r="M160" s="131"/>
      <c r="N160" s="109" t="str">
        <f>CONCATENATE("X",$F$17)</f>
        <v>X2</v>
      </c>
      <c r="O160" s="28">
        <f>$L$22</f>
        <v>260</v>
      </c>
      <c r="P160" s="110">
        <f>$M$22</f>
        <v>4.333333333333333</v>
      </c>
      <c r="Q160" s="109">
        <f>$N$22</f>
        <v>15.600000000000001</v>
      </c>
      <c r="R160" s="92">
        <f>$O$22</f>
        <v>4.3333333333333331E-3</v>
      </c>
    </row>
    <row r="161" spans="1:13" ht="13.5" thickBot="1" x14ac:dyDescent="0.25">
      <c r="A161" s="76" t="s">
        <v>242</v>
      </c>
      <c r="B161" s="132">
        <v>140</v>
      </c>
      <c r="E161" s="128">
        <f>B24</f>
        <v>1.5</v>
      </c>
      <c r="F161" s="129">
        <f>(10.643*O21^1.85)/(B161^1.85*(B24*2.54/100)^4.87)</f>
        <v>0.10935482581635408</v>
      </c>
      <c r="G161" s="130"/>
      <c r="I161" s="42" t="s">
        <v>243</v>
      </c>
      <c r="J161" s="39">
        <f>F75+G157+G164+G173+G167+IF(I6&lt;&gt;0,-I6,I7)</f>
        <v>22.459286269481648</v>
      </c>
      <c r="K161" s="125" t="s">
        <v>244</v>
      </c>
      <c r="L161" s="87"/>
      <c r="M161" s="87"/>
    </row>
    <row r="162" spans="1:13" x14ac:dyDescent="0.2">
      <c r="F162" s="88"/>
      <c r="I162" s="42"/>
      <c r="J162" s="87"/>
      <c r="K162" s="87"/>
      <c r="L162" s="99"/>
      <c r="M162" s="87"/>
    </row>
    <row r="163" spans="1:13" x14ac:dyDescent="0.2">
      <c r="A163" s="104" t="s">
        <v>245</v>
      </c>
      <c r="F163" s="88"/>
      <c r="I163" s="117"/>
      <c r="J163" s="97"/>
      <c r="K163" s="97"/>
      <c r="L163" s="87"/>
      <c r="M163" s="87"/>
    </row>
    <row r="164" spans="1:13" x14ac:dyDescent="0.2">
      <c r="A164" s="118" t="s">
        <v>247</v>
      </c>
      <c r="E164" s="128">
        <f>E160</f>
        <v>2.5</v>
      </c>
      <c r="F164" s="129">
        <f>F160*(B23*D23)</f>
        <v>0</v>
      </c>
      <c r="G164" s="127">
        <f>F164+F165</f>
        <v>3.2806447744906224</v>
      </c>
      <c r="H164" s="125" t="s">
        <v>248</v>
      </c>
      <c r="I164" s="42"/>
      <c r="J164" s="97"/>
      <c r="K164" s="97"/>
      <c r="L164" s="87"/>
      <c r="M164" s="87"/>
    </row>
    <row r="165" spans="1:13" x14ac:dyDescent="0.2">
      <c r="A165" s="104"/>
      <c r="E165" s="128">
        <f>E161</f>
        <v>1.5</v>
      </c>
      <c r="F165" s="129">
        <f>F161*(B25*D25)</f>
        <v>3.2806447744906224</v>
      </c>
    </row>
    <row r="166" spans="1:13" x14ac:dyDescent="0.2">
      <c r="A166" s="104" t="s">
        <v>249</v>
      </c>
      <c r="I166" s="104" t="s">
        <v>250</v>
      </c>
    </row>
    <row r="167" spans="1:13" x14ac:dyDescent="0.2">
      <c r="A167" s="118" t="s">
        <v>251</v>
      </c>
      <c r="G167" s="39">
        <f>$I$16^2/$B$27^2/10</f>
        <v>15.929870864360447</v>
      </c>
      <c r="H167" s="125" t="s">
        <v>252</v>
      </c>
      <c r="I167" s="118" t="s">
        <v>253</v>
      </c>
    </row>
    <row r="168" spans="1:13" x14ac:dyDescent="0.2">
      <c r="A168" s="118" t="s">
        <v>254</v>
      </c>
      <c r="I168" s="118" t="s">
        <v>255</v>
      </c>
      <c r="J168" s="133">
        <v>50</v>
      </c>
    </row>
    <row r="169" spans="1:13" x14ac:dyDescent="0.2">
      <c r="A169" s="118" t="s">
        <v>256</v>
      </c>
      <c r="I169" s="118" t="s">
        <v>257</v>
      </c>
      <c r="J169" s="134">
        <f>1000*J161*O22/(75*J168/100)</f>
        <v>2.5952953022512122</v>
      </c>
    </row>
    <row r="170" spans="1:13" x14ac:dyDescent="0.2">
      <c r="A170" s="118" t="s">
        <v>258</v>
      </c>
    </row>
    <row r="171" spans="1:13" x14ac:dyDescent="0.2">
      <c r="A171" s="104"/>
    </row>
    <row r="172" spans="1:13" x14ac:dyDescent="0.2">
      <c r="A172" s="104" t="s">
        <v>259</v>
      </c>
      <c r="I172" s="104" t="s">
        <v>260</v>
      </c>
    </row>
    <row r="173" spans="1:13" x14ac:dyDescent="0.2">
      <c r="A173" s="118" t="s">
        <v>261</v>
      </c>
      <c r="G173" s="135">
        <f>B174*D175*D175/(2*9.8)</f>
        <v>1.3594866916547628</v>
      </c>
      <c r="H173" s="125" t="s">
        <v>262</v>
      </c>
      <c r="I173" s="76" t="s">
        <v>263</v>
      </c>
      <c r="J173" s="81">
        <v>3</v>
      </c>
    </row>
    <row r="174" spans="1:13" x14ac:dyDescent="0.2">
      <c r="A174" s="118" t="s">
        <v>264</v>
      </c>
      <c r="B174" s="136">
        <v>0.1</v>
      </c>
      <c r="I174" s="102" t="s">
        <v>265</v>
      </c>
      <c r="J174">
        <v>135</v>
      </c>
      <c r="K174" s="76" t="s">
        <v>142</v>
      </c>
    </row>
    <row r="175" spans="1:13" x14ac:dyDescent="0.2">
      <c r="A175" s="118" t="s">
        <v>266</v>
      </c>
      <c r="D175" s="137">
        <f>O21/(PI()*(B26/1000)^2/4)</f>
        <v>16.323583906861064</v>
      </c>
    </row>
    <row r="176" spans="1:13" ht="13.5" thickBot="1" x14ac:dyDescent="0.25">
      <c r="A176" s="118" t="s">
        <v>267</v>
      </c>
      <c r="I176" s="104" t="s">
        <v>268</v>
      </c>
    </row>
    <row r="177" spans="9:11" ht="13.5" thickBot="1" x14ac:dyDescent="0.25">
      <c r="I177" s="76" t="s">
        <v>263</v>
      </c>
      <c r="J177" s="81" t="s">
        <v>733</v>
      </c>
    </row>
    <row r="178" spans="9:11" x14ac:dyDescent="0.2">
      <c r="I178" s="102" t="s">
        <v>265</v>
      </c>
      <c r="J178" s="102" t="s">
        <v>734</v>
      </c>
      <c r="K178" s="76" t="s">
        <v>142</v>
      </c>
    </row>
  </sheetData>
  <sheetProtection selectLockedCells="1" selectUnlockedCells="1"/>
  <mergeCells count="7">
    <mergeCell ref="C4:D4"/>
    <mergeCell ref="A20:D20"/>
    <mergeCell ref="F20:I20"/>
    <mergeCell ref="A21:B21"/>
    <mergeCell ref="C21:D21"/>
    <mergeCell ref="F21:G21"/>
    <mergeCell ref="H21:I21"/>
  </mergeCells>
  <conditionalFormatting sqref="C48">
    <cfRule type="cellIs" dxfId="23" priority="1" stopIfTrue="1" operator="greaterThanOrEqual">
      <formula>4</formula>
    </cfRule>
    <cfRule type="cellIs" dxfId="22" priority="2" stopIfTrue="1" operator="lessThan">
      <formula>4</formula>
    </cfRule>
  </conditionalFormatting>
  <conditionalFormatting sqref="C51:C55">
    <cfRule type="cellIs" dxfId="21" priority="3" stopIfTrue="1" operator="greaterThanOrEqual">
      <formula>5</formula>
    </cfRule>
    <cfRule type="cellIs" dxfId="20" priority="4" stopIfTrue="1" operator="lessThan">
      <formula>5</formula>
    </cfRule>
  </conditionalFormatting>
  <conditionalFormatting sqref="F160:F161 F164:F165 G167 G173">
    <cfRule type="cellIs" dxfId="19" priority="5" stopIfTrue="1" operator="equal">
      <formula>0</formula>
    </cfRule>
  </conditionalFormatting>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4"/>
  <sheetViews>
    <sheetView topLeftCell="A72" zoomScale="87" zoomScaleNormal="87" workbookViewId="0">
      <selection activeCell="D7" sqref="D7"/>
    </sheetView>
  </sheetViews>
  <sheetFormatPr defaultColWidth="9.42578125" defaultRowHeight="12.75" x14ac:dyDescent="0.2"/>
  <cols>
    <col min="1" max="1" width="12" style="76" customWidth="1"/>
    <col min="2" max="5" width="8.42578125" style="76" customWidth="1"/>
    <col min="6" max="7" width="10.42578125" style="76" customWidth="1"/>
    <col min="8" max="15" width="8.42578125" style="76" customWidth="1"/>
    <col min="16" max="16" width="9.42578125" style="76" customWidth="1"/>
    <col min="17" max="16384" width="9.42578125" style="76"/>
  </cols>
  <sheetData>
    <row r="1" spans="1:19" s="78" customFormat="1" x14ac:dyDescent="0.2">
      <c r="A1" s="77" t="s">
        <v>100</v>
      </c>
      <c r="S1" s="78">
        <v>1900</v>
      </c>
    </row>
    <row r="2" spans="1:19" s="78" customFormat="1" x14ac:dyDescent="0.2">
      <c r="A2" s="78" t="s">
        <v>101</v>
      </c>
      <c r="B2" s="78" t="e">
        <f>#REF!</f>
        <v>#REF!</v>
      </c>
      <c r="F2" s="78" t="s">
        <v>102</v>
      </c>
      <c r="G2" s="78">
        <v>28.47</v>
      </c>
      <c r="H2" s="78">
        <v>1</v>
      </c>
      <c r="I2" s="78">
        <f>2</f>
        <v>2</v>
      </c>
      <c r="J2" s="78">
        <f>G2*H2*I2</f>
        <v>56.94</v>
      </c>
      <c r="L2" s="78">
        <f>G2</f>
        <v>28.47</v>
      </c>
      <c r="M2" s="78">
        <f>H2</f>
        <v>1</v>
      </c>
      <c r="N2" s="78">
        <v>3.6</v>
      </c>
      <c r="O2" s="78">
        <f>L2*M2*N2</f>
        <v>102.492</v>
      </c>
      <c r="S2" s="78">
        <f>S1/270</f>
        <v>7.0370370370370372</v>
      </c>
    </row>
    <row r="3" spans="1:19" s="78" customFormat="1" x14ac:dyDescent="0.2">
      <c r="A3" s="78" t="s">
        <v>103</v>
      </c>
      <c r="F3" s="78" t="s">
        <v>104</v>
      </c>
      <c r="G3" s="78">
        <f>G2</f>
        <v>28.47</v>
      </c>
      <c r="H3" s="78">
        <f>H2</f>
        <v>1</v>
      </c>
      <c r="I3" s="78">
        <f>I2</f>
        <v>2</v>
      </c>
      <c r="J3" s="78">
        <f>G3*H3*I3</f>
        <v>56.94</v>
      </c>
      <c r="L3" s="78">
        <f>L2</f>
        <v>28.47</v>
      </c>
      <c r="M3" s="78">
        <f>M2</f>
        <v>1</v>
      </c>
      <c r="N3" s="78">
        <f>N2</f>
        <v>3.6</v>
      </c>
      <c r="O3" s="78">
        <f>L3*M3*N3</f>
        <v>102.492</v>
      </c>
    </row>
    <row r="4" spans="1:19" s="78" customFormat="1" x14ac:dyDescent="0.2">
      <c r="A4" s="78" t="s">
        <v>105</v>
      </c>
      <c r="C4" s="940"/>
      <c r="D4" s="940"/>
      <c r="J4" s="78">
        <f>SUM(J2:J3)</f>
        <v>113.88</v>
      </c>
      <c r="K4" s="78">
        <f>J4/2</f>
        <v>56.94</v>
      </c>
      <c r="O4" s="78">
        <f>SUM(O2:O3)</f>
        <v>204.98400000000001</v>
      </c>
      <c r="P4" s="78">
        <f>O4-J4</f>
        <v>91.104000000000013</v>
      </c>
      <c r="Q4" s="78">
        <f>P4/2</f>
        <v>45.552000000000007</v>
      </c>
      <c r="R4" s="78">
        <f>47-35</f>
        <v>12</v>
      </c>
    </row>
    <row r="5" spans="1:19" s="79" customFormat="1" x14ac:dyDescent="0.2">
      <c r="A5" s="79" t="s">
        <v>106</v>
      </c>
      <c r="I5" s="79">
        <f>1.65+0.2</f>
        <v>1.8499999999999999</v>
      </c>
      <c r="K5" s="79" t="s">
        <v>107</v>
      </c>
      <c r="P5" s="78"/>
    </row>
    <row r="6" spans="1:19" x14ac:dyDescent="0.2">
      <c r="F6" s="76" t="s">
        <v>108</v>
      </c>
      <c r="G6" s="80"/>
      <c r="H6" s="80"/>
      <c r="I6" s="83"/>
      <c r="J6" s="82" t="s">
        <v>10</v>
      </c>
      <c r="K6" s="76" t="s">
        <v>109</v>
      </c>
    </row>
    <row r="7" spans="1:19" x14ac:dyDescent="0.2">
      <c r="A7" s="76" t="s">
        <v>110</v>
      </c>
      <c r="B7" s="80"/>
      <c r="C7" s="80"/>
      <c r="D7" s="81" t="s">
        <v>790</v>
      </c>
      <c r="F7" s="76" t="s">
        <v>111</v>
      </c>
      <c r="G7" s="80"/>
      <c r="H7" s="80"/>
      <c r="I7" s="83">
        <f>1.7+2.75+0.8+1.85</f>
        <v>7.1</v>
      </c>
      <c r="J7" s="82" t="s">
        <v>112</v>
      </c>
      <c r="K7" s="76" t="s">
        <v>35</v>
      </c>
    </row>
    <row r="8" spans="1:19" x14ac:dyDescent="0.2">
      <c r="J8" s="82"/>
      <c r="K8" s="76" t="s">
        <v>113</v>
      </c>
    </row>
    <row r="9" spans="1:19" x14ac:dyDescent="0.2">
      <c r="A9" s="76" t="s">
        <v>114</v>
      </c>
      <c r="D9" s="83">
        <f>3.8+0.25</f>
        <v>4.05</v>
      </c>
      <c r="F9" s="76" t="s">
        <v>115</v>
      </c>
      <c r="I9" s="83">
        <v>28.5</v>
      </c>
      <c r="J9" s="82"/>
      <c r="K9" s="76" t="s">
        <v>116</v>
      </c>
      <c r="N9" s="83"/>
    </row>
    <row r="10" spans="1:19" x14ac:dyDescent="0.2">
      <c r="A10" s="76" t="s">
        <v>117</v>
      </c>
      <c r="D10" s="85">
        <v>3</v>
      </c>
      <c r="F10" s="76" t="s">
        <v>118</v>
      </c>
      <c r="I10" s="85">
        <v>2.5</v>
      </c>
      <c r="J10" s="82"/>
      <c r="K10" s="76" t="s">
        <v>119</v>
      </c>
      <c r="N10" s="86"/>
    </row>
    <row r="11" spans="1:19" x14ac:dyDescent="0.2">
      <c r="J11" s="82"/>
    </row>
    <row r="12" spans="1:19" x14ac:dyDescent="0.2">
      <c r="F12" s="76" t="s">
        <v>120</v>
      </c>
      <c r="I12" s="84"/>
      <c r="J12" s="76">
        <v>5</v>
      </c>
      <c r="K12" s="76" t="s">
        <v>121</v>
      </c>
      <c r="N12" s="84"/>
    </row>
    <row r="13" spans="1:19" x14ac:dyDescent="0.2">
      <c r="F13" s="76" t="s">
        <v>122</v>
      </c>
      <c r="I13" s="86"/>
      <c r="K13" s="76" t="s">
        <v>123</v>
      </c>
      <c r="N13" s="86"/>
    </row>
    <row r="14" spans="1:19" x14ac:dyDescent="0.2">
      <c r="J14" s="82"/>
    </row>
    <row r="15" spans="1:19" x14ac:dyDescent="0.2">
      <c r="C15" s="87"/>
      <c r="E15" s="88"/>
      <c r="F15" s="89"/>
      <c r="I15" s="87"/>
      <c r="J15" s="87"/>
      <c r="K15" s="87"/>
      <c r="L15" s="76" t="s">
        <v>124</v>
      </c>
      <c r="M15" s="76" t="s">
        <v>125</v>
      </c>
      <c r="N15" s="76">
        <v>1</v>
      </c>
      <c r="O15" s="76">
        <v>2</v>
      </c>
      <c r="P15" s="76">
        <v>3</v>
      </c>
      <c r="Q15" s="76">
        <v>4</v>
      </c>
      <c r="R15" s="76">
        <v>5</v>
      </c>
    </row>
    <row r="16" spans="1:19" x14ac:dyDescent="0.2">
      <c r="A16" s="76" t="s">
        <v>126</v>
      </c>
      <c r="C16" s="83">
        <v>2</v>
      </c>
      <c r="E16" s="88" t="b">
        <f>IF(C16=4,"Escolha:40mm OU 65mm")</f>
        <v>0</v>
      </c>
      <c r="F16" s="81">
        <v>65</v>
      </c>
      <c r="G16" s="76" t="s">
        <v>127</v>
      </c>
      <c r="I16" s="27">
        <f>IF(C16=1,100,IF(C16=2,150,IF(C16=3,200,IF(C16=4,300,IF(C16=5,600,"escolher tipo")))))</f>
        <v>150</v>
      </c>
      <c r="J16" s="76" t="s">
        <v>128</v>
      </c>
      <c r="K16" s="27" t="e">
        <f>IF(C16=1,N16,IF(C16=2,O16,IF(C16=3,P16,IF(C16=4,Q16,IF(C16=5,R16,"escolher tipo")))))*1000</f>
        <v>#REF!</v>
      </c>
      <c r="L16" s="76" t="e">
        <f>#REF!</f>
        <v>#REF!</v>
      </c>
      <c r="N16" s="76" t="e">
        <f>IF(L16&lt;2500,5,IF(L16&lt;5000,8,IF(L16&lt;10000,12,IF(L16&lt;20000,18,IF(L16&lt;50000,25,35)))))</f>
        <v>#REF!</v>
      </c>
      <c r="O16" s="76" t="e">
        <f>IF(L16&lt;2500,8,IF(L16&lt;5000,12,IF(L16&lt;10000,18,IF(L16&lt;20000,25,IF(L16&lt;50000,35,48)))))</f>
        <v>#REF!</v>
      </c>
      <c r="P16" s="76" t="e">
        <f>IF(L16&lt;2500,12,IF(L16&lt;5000,18,IF(L16&lt;10000,25,IF(L16&lt;20000,35,IF(L16&lt;50000,48,70)))))</f>
        <v>#REF!</v>
      </c>
      <c r="Q16" s="76" t="e">
        <f>IF(L16&lt;2500,28,IF(L16&lt;5000,32,IF(L16&lt;10000,48,IF(L16&lt;20000,64,IF(L16&lt;50000,96,120)))))</f>
        <v>#REF!</v>
      </c>
      <c r="R16" s="76" t="e">
        <f>IF(L16&lt;2500,32,IF(L16&lt;5000,48,IF(L16&lt;10000,64,IF(L16&lt;20000,96,IF(L16&lt;50000,120,180)))))</f>
        <v>#REF!</v>
      </c>
    </row>
    <row r="17" spans="1:16" x14ac:dyDescent="0.2">
      <c r="C17" s="87"/>
      <c r="E17" s="88" t="s">
        <v>129</v>
      </c>
      <c r="F17" s="90">
        <v>2</v>
      </c>
      <c r="I17" s="87"/>
      <c r="J17" s="476" t="s">
        <v>731</v>
      </c>
      <c r="K17" s="91">
        <f>K18</f>
        <v>8500</v>
      </c>
      <c r="O17" s="88"/>
    </row>
    <row r="18" spans="1:16" x14ac:dyDescent="0.2">
      <c r="E18" s="88" t="s">
        <v>130</v>
      </c>
      <c r="F18" s="90">
        <v>4</v>
      </c>
      <c r="J18" s="476" t="s">
        <v>732</v>
      </c>
      <c r="K18" s="76">
        <v>8500</v>
      </c>
    </row>
    <row r="20" spans="1:16" x14ac:dyDescent="0.2">
      <c r="A20" s="941" t="s">
        <v>131</v>
      </c>
      <c r="B20" s="941"/>
      <c r="C20" s="941"/>
      <c r="D20" s="941"/>
      <c r="F20" s="941" t="s">
        <v>132</v>
      </c>
      <c r="G20" s="941"/>
      <c r="H20" s="941"/>
      <c r="I20" s="941"/>
      <c r="K20" s="93"/>
      <c r="L20" s="92" t="s">
        <v>133</v>
      </c>
      <c r="M20" s="92" t="s">
        <v>134</v>
      </c>
      <c r="N20" s="92" t="s">
        <v>135</v>
      </c>
      <c r="O20" s="92" t="s">
        <v>136</v>
      </c>
      <c r="P20" s="92" t="s">
        <v>137</v>
      </c>
    </row>
    <row r="21" spans="1:16" x14ac:dyDescent="0.2">
      <c r="A21" s="941" t="s">
        <v>138</v>
      </c>
      <c r="B21" s="941"/>
      <c r="C21" s="941" t="s">
        <v>139</v>
      </c>
      <c r="D21" s="941"/>
      <c r="F21" s="941" t="s">
        <v>138</v>
      </c>
      <c r="G21" s="941"/>
      <c r="H21" s="941" t="s">
        <v>139</v>
      </c>
      <c r="I21" s="941"/>
      <c r="K21" s="92" t="s">
        <v>140</v>
      </c>
      <c r="L21" s="92">
        <f>I16</f>
        <v>150</v>
      </c>
      <c r="M21" s="92">
        <f>L21/60</f>
        <v>2.5</v>
      </c>
      <c r="N21" s="92">
        <f>L21/1000*60</f>
        <v>9</v>
      </c>
      <c r="O21" s="92">
        <f>L21/60000</f>
        <v>2.5000000000000001E-3</v>
      </c>
      <c r="P21" s="92">
        <f>L21</f>
        <v>150</v>
      </c>
    </row>
    <row r="22" spans="1:16" x14ac:dyDescent="0.2">
      <c r="A22" s="93" t="s">
        <v>141</v>
      </c>
      <c r="B22" s="86">
        <v>1.5</v>
      </c>
      <c r="C22" s="93" t="s">
        <v>142</v>
      </c>
      <c r="D22" s="94">
        <f>0.254*B22*100</f>
        <v>38.1</v>
      </c>
      <c r="F22" s="93" t="s">
        <v>141</v>
      </c>
      <c r="G22" s="86" t="str">
        <f>IF(C16&lt;&gt;1,"",C16)</f>
        <v/>
      </c>
      <c r="H22" s="93" t="s">
        <v>142</v>
      </c>
      <c r="I22" s="94" t="str">
        <f>IF(C16&lt;&gt;1,"",0.254*G22*100)</f>
        <v/>
      </c>
      <c r="K22" s="92" t="str">
        <f>CONCATENATE("X",$F$17)</f>
        <v>X2</v>
      </c>
      <c r="L22" s="92">
        <f>L21*F17</f>
        <v>300</v>
      </c>
      <c r="M22" s="92">
        <f>M21*F17</f>
        <v>5</v>
      </c>
      <c r="N22" s="92">
        <f>N21*F17</f>
        <v>18</v>
      </c>
      <c r="O22" s="92">
        <f>O21*F17</f>
        <v>5.0000000000000001E-3</v>
      </c>
      <c r="P22" s="92">
        <f>P21*F17</f>
        <v>300</v>
      </c>
    </row>
    <row r="23" spans="1:16" x14ac:dyDescent="0.2">
      <c r="A23" s="93" t="s">
        <v>143</v>
      </c>
      <c r="B23" s="95">
        <v>2</v>
      </c>
      <c r="C23" s="96" t="s">
        <v>144</v>
      </c>
      <c r="D23" s="84">
        <f>IF(G23="",30,"")</f>
        <v>30</v>
      </c>
      <c r="F23" s="93" t="s">
        <v>143</v>
      </c>
      <c r="G23" s="84" t="str">
        <f>IF(C16=1,1,"")</f>
        <v/>
      </c>
      <c r="H23" s="96" t="s">
        <v>144</v>
      </c>
      <c r="I23" s="84" t="str">
        <f>IF(C16=1,30,"")</f>
        <v/>
      </c>
      <c r="K23" s="97"/>
      <c r="L23" s="97"/>
      <c r="M23" s="97"/>
      <c r="N23" s="97"/>
      <c r="O23" s="97"/>
      <c r="P23" s="97"/>
    </row>
    <row r="24" spans="1:16" x14ac:dyDescent="0.2">
      <c r="A24" s="93" t="s">
        <v>141</v>
      </c>
      <c r="B24" s="86">
        <v>2.5</v>
      </c>
      <c r="C24" s="93" t="s">
        <v>142</v>
      </c>
      <c r="D24" s="94">
        <f>0.254*B24*100</f>
        <v>63.5</v>
      </c>
      <c r="F24" s="87"/>
      <c r="G24" s="98"/>
      <c r="H24" s="87"/>
      <c r="I24" s="99"/>
      <c r="K24" s="97"/>
      <c r="L24" s="97"/>
      <c r="M24" s="97"/>
      <c r="N24" s="97"/>
      <c r="O24" s="97"/>
      <c r="P24" s="97"/>
    </row>
    <row r="25" spans="1:16" x14ac:dyDescent="0.2">
      <c r="A25" s="93" t="s">
        <v>143</v>
      </c>
      <c r="B25" s="95">
        <v>2</v>
      </c>
      <c r="C25" s="96"/>
      <c r="D25" s="84">
        <v>15</v>
      </c>
      <c r="F25" s="87"/>
      <c r="G25" s="98"/>
      <c r="H25" s="87"/>
      <c r="I25" s="99"/>
      <c r="K25" s="97"/>
      <c r="L25" s="97" t="s">
        <v>145</v>
      </c>
      <c r="M25" s="97"/>
      <c r="N25" s="97"/>
      <c r="O25" s="97"/>
    </row>
    <row r="26" spans="1:16" x14ac:dyDescent="0.2">
      <c r="A26" s="93" t="s">
        <v>146</v>
      </c>
      <c r="B26" s="100">
        <f>IF(C16=1,25,IF(C16=2,40,IF(C16=3,40,IF(C16=4,40,IF(C16=5,65,"escolher tipo")))))</f>
        <v>40</v>
      </c>
      <c r="C26" s="93" t="s">
        <v>142</v>
      </c>
      <c r="D26" s="99"/>
      <c r="F26" s="87" t="s">
        <v>147</v>
      </c>
      <c r="G26" s="98"/>
      <c r="H26" s="87"/>
      <c r="I26" s="99"/>
      <c r="J26" s="76" t="s">
        <v>148</v>
      </c>
      <c r="K26" s="97"/>
      <c r="L26" s="97">
        <v>100</v>
      </c>
      <c r="M26" s="84"/>
      <c r="N26" s="97"/>
      <c r="O26" s="97"/>
    </row>
    <row r="27" spans="1:16" x14ac:dyDescent="0.2">
      <c r="A27" s="93" t="s">
        <v>149</v>
      </c>
      <c r="B27" s="101" t="str">
        <f>IF(B26=13,10.3,IF(B26=16,16.3,IF(B26=19,23.4,IF(B26=22,32,IF(B26=25,41.9,IF(B26=32,65.4,"ñ válido"))))))</f>
        <v>ñ válido</v>
      </c>
      <c r="C27" s="93" t="s">
        <v>150</v>
      </c>
      <c r="F27" s="76" t="s">
        <v>151</v>
      </c>
      <c r="G27" s="27">
        <f>IF(M26="x",L26,IF(M27="x",L27,IF(M28="x",L28,IF(M29="x",L29,IF(M30="x",L30,L31)))))</f>
        <v>120</v>
      </c>
      <c r="J27" s="76" t="s">
        <v>152</v>
      </c>
      <c r="L27" s="97">
        <v>100</v>
      </c>
      <c r="M27" s="84"/>
    </row>
    <row r="28" spans="1:16" x14ac:dyDescent="0.2">
      <c r="A28" s="79" t="s">
        <v>153</v>
      </c>
      <c r="J28" s="76" t="s">
        <v>154</v>
      </c>
      <c r="L28" s="97">
        <v>120</v>
      </c>
      <c r="M28" s="84"/>
    </row>
    <row r="29" spans="1:16" x14ac:dyDescent="0.2">
      <c r="A29" s="79"/>
      <c r="J29" s="102" t="s">
        <v>155</v>
      </c>
      <c r="L29" s="97">
        <v>120</v>
      </c>
      <c r="M29" s="84" t="s">
        <v>144</v>
      </c>
    </row>
    <row r="30" spans="1:16" x14ac:dyDescent="0.2">
      <c r="A30" s="76" t="s">
        <v>156</v>
      </c>
      <c r="C30" s="76" t="s">
        <v>157</v>
      </c>
      <c r="E30" s="76" t="s">
        <v>158</v>
      </c>
      <c r="J30" s="102" t="s">
        <v>159</v>
      </c>
      <c r="L30" s="97">
        <v>140</v>
      </c>
      <c r="M30" s="84"/>
    </row>
    <row r="31" spans="1:16" x14ac:dyDescent="0.2">
      <c r="A31" s="79"/>
      <c r="E31" s="76" t="s">
        <v>160</v>
      </c>
      <c r="J31" s="76" t="s">
        <v>161</v>
      </c>
      <c r="L31" s="97">
        <v>150</v>
      </c>
      <c r="M31" s="84"/>
    </row>
    <row r="32" spans="1:16" x14ac:dyDescent="0.2">
      <c r="A32" s="79"/>
      <c r="E32" s="76" t="s">
        <v>162</v>
      </c>
      <c r="L32" s="97"/>
    </row>
    <row r="33" spans="1:13" x14ac:dyDescent="0.2">
      <c r="A33" s="79"/>
      <c r="L33" s="97"/>
    </row>
    <row r="34" spans="1:13" x14ac:dyDescent="0.2">
      <c r="A34" s="76" t="s">
        <v>163</v>
      </c>
      <c r="E34" s="76" t="s">
        <v>164</v>
      </c>
    </row>
    <row r="36" spans="1:13" x14ac:dyDescent="0.2">
      <c r="A36" s="82" t="s">
        <v>165</v>
      </c>
      <c r="B36" s="76" t="s">
        <v>166</v>
      </c>
      <c r="E36" s="82" t="s">
        <v>167</v>
      </c>
      <c r="F36" s="76" t="s">
        <v>168</v>
      </c>
    </row>
    <row r="37" spans="1:13" x14ac:dyDescent="0.2">
      <c r="A37" s="82" t="s">
        <v>169</v>
      </c>
      <c r="B37" s="76" t="s">
        <v>170</v>
      </c>
      <c r="E37" s="82" t="s">
        <v>171</v>
      </c>
      <c r="F37" s="76" t="s">
        <v>172</v>
      </c>
    </row>
    <row r="38" spans="1:13" x14ac:dyDescent="0.2">
      <c r="A38" s="82" t="s">
        <v>173</v>
      </c>
      <c r="B38" s="76" t="s">
        <v>174</v>
      </c>
      <c r="E38" s="82" t="s">
        <v>175</v>
      </c>
      <c r="F38" s="76" t="s">
        <v>176</v>
      </c>
    </row>
    <row r="39" spans="1:13" x14ac:dyDescent="0.2">
      <c r="E39" s="82"/>
    </row>
    <row r="40" spans="1:13" x14ac:dyDescent="0.2">
      <c r="A40" s="103" t="s">
        <v>177</v>
      </c>
      <c r="E40" s="82"/>
    </row>
    <row r="41" spans="1:13" x14ac:dyDescent="0.2">
      <c r="A41" s="76">
        <v>1</v>
      </c>
      <c r="B41" s="76" t="s">
        <v>178</v>
      </c>
      <c r="E41" s="88">
        <v>6</v>
      </c>
      <c r="F41" s="76" t="s">
        <v>179</v>
      </c>
      <c r="I41" s="76">
        <v>11</v>
      </c>
      <c r="J41" s="76" t="s">
        <v>180</v>
      </c>
      <c r="M41" s="76" t="s">
        <v>181</v>
      </c>
    </row>
    <row r="42" spans="1:13" x14ac:dyDescent="0.2">
      <c r="A42" s="76">
        <v>2</v>
      </c>
      <c r="B42" s="76" t="s">
        <v>182</v>
      </c>
      <c r="E42" s="88">
        <v>7</v>
      </c>
      <c r="F42" s="76" t="s">
        <v>183</v>
      </c>
      <c r="I42" s="76">
        <v>12</v>
      </c>
      <c r="J42" s="76" t="s">
        <v>184</v>
      </c>
    </row>
    <row r="43" spans="1:13" x14ac:dyDescent="0.2">
      <c r="A43" s="76">
        <v>3</v>
      </c>
      <c r="B43" s="76" t="s">
        <v>185</v>
      </c>
      <c r="E43" s="88">
        <v>8</v>
      </c>
      <c r="F43" s="76" t="s">
        <v>186</v>
      </c>
      <c r="I43" s="76">
        <v>13</v>
      </c>
      <c r="J43" s="76" t="s">
        <v>187</v>
      </c>
    </row>
    <row r="44" spans="1:13" x14ac:dyDescent="0.2">
      <c r="A44" s="76">
        <v>4</v>
      </c>
      <c r="B44" s="76" t="s">
        <v>188</v>
      </c>
      <c r="E44" s="88">
        <v>9</v>
      </c>
      <c r="F44" s="76" t="s">
        <v>189</v>
      </c>
      <c r="I44" s="76">
        <v>14</v>
      </c>
      <c r="J44" s="76" t="s">
        <v>190</v>
      </c>
    </row>
    <row r="45" spans="1:13" x14ac:dyDescent="0.2">
      <c r="A45" s="76">
        <v>5</v>
      </c>
      <c r="B45" s="76" t="s">
        <v>191</v>
      </c>
      <c r="E45" s="88">
        <v>10</v>
      </c>
      <c r="F45" s="76" t="s">
        <v>192</v>
      </c>
      <c r="I45" s="76">
        <v>15</v>
      </c>
      <c r="J45" s="76" t="s">
        <v>193</v>
      </c>
    </row>
    <row r="46" spans="1:13" x14ac:dyDescent="0.2">
      <c r="E46" s="88"/>
    </row>
    <row r="47" spans="1:13" x14ac:dyDescent="0.2">
      <c r="A47" s="104" t="s">
        <v>194</v>
      </c>
      <c r="E47" s="88"/>
    </row>
    <row r="48" spans="1:13" x14ac:dyDescent="0.2">
      <c r="A48" s="76" t="s">
        <v>195</v>
      </c>
      <c r="C48" s="76">
        <f>O22/(PI()*F59*F59/4)</f>
        <v>1.0964029118833249</v>
      </c>
      <c r="D48" s="76" t="str">
        <f>IF(C48&gt;=4,"redimencionar","Aceitável")</f>
        <v>Aceitável</v>
      </c>
      <c r="E48" s="88"/>
    </row>
    <row r="49" spans="1:17" x14ac:dyDescent="0.2">
      <c r="A49" s="104"/>
      <c r="E49" s="88"/>
    </row>
    <row r="50" spans="1:17" x14ac:dyDescent="0.2">
      <c r="A50" s="104" t="s">
        <v>196</v>
      </c>
      <c r="E50" s="88"/>
    </row>
    <row r="51" spans="1:17" x14ac:dyDescent="0.2">
      <c r="A51" s="76" t="s">
        <v>197</v>
      </c>
      <c r="C51" s="76">
        <f>O22/(PI()*F80^2/4)</f>
        <v>1.5788201931119878</v>
      </c>
      <c r="D51" s="76" t="str">
        <f>IF(C51&gt;=5,"redimencionar","Aceitável")</f>
        <v>Aceitável</v>
      </c>
      <c r="E51" s="88"/>
    </row>
    <row r="52" spans="1:17" x14ac:dyDescent="0.2">
      <c r="A52" s="76" t="s">
        <v>198</v>
      </c>
      <c r="C52" s="76" t="str">
        <f>IF(F100=0,"",$O$22/(PI()*F100^2/4))</f>
        <v/>
      </c>
      <c r="D52" s="76" t="str">
        <f>IF(C52="","",IF(C52&gt;=5,"redimencionar","Aceitável"))</f>
        <v/>
      </c>
      <c r="E52" s="88"/>
    </row>
    <row r="53" spans="1:17" x14ac:dyDescent="0.2">
      <c r="A53" s="76" t="s">
        <v>199</v>
      </c>
      <c r="C53" s="76" t="str">
        <f>IF(F120=0,"",$O$22/(PI()*F120^2/4))</f>
        <v/>
      </c>
      <c r="D53" s="76" t="str">
        <f>IF(C53="","",IF(C53&gt;=5,"redimencionar","Aceitável"))</f>
        <v/>
      </c>
      <c r="E53" s="88"/>
    </row>
    <row r="54" spans="1:17" x14ac:dyDescent="0.2">
      <c r="A54" s="76" t="s">
        <v>200</v>
      </c>
      <c r="C54" s="76" t="str">
        <f>IF(F140=0,"",$O$22/(PI()*F140^2/4))</f>
        <v/>
      </c>
      <c r="D54" s="76" t="str">
        <f>IF(C54="","",IF(C54&gt;=5,"redimencionar","Aceitável"))</f>
        <v/>
      </c>
      <c r="E54" s="88"/>
    </row>
    <row r="55" spans="1:17" x14ac:dyDescent="0.2">
      <c r="E55" s="88"/>
    </row>
    <row r="56" spans="1:17" x14ac:dyDescent="0.2">
      <c r="E56" s="82"/>
    </row>
    <row r="57" spans="1:17" s="104" customFormat="1" x14ac:dyDescent="0.2">
      <c r="A57" s="104" t="s">
        <v>201</v>
      </c>
      <c r="E57" s="105"/>
    </row>
    <row r="58" spans="1:17" x14ac:dyDescent="0.2">
      <c r="A58" s="76" t="s">
        <v>202</v>
      </c>
      <c r="D58" s="106">
        <f>D10</f>
        <v>3</v>
      </c>
      <c r="E58" s="82" t="s">
        <v>142</v>
      </c>
      <c r="F58" s="107">
        <f>0.254*D58*100</f>
        <v>76.2</v>
      </c>
      <c r="K58" s="92"/>
      <c r="L58" s="108" t="s">
        <v>133</v>
      </c>
      <c r="M58" s="92" t="s">
        <v>134</v>
      </c>
      <c r="N58" s="92" t="s">
        <v>135</v>
      </c>
      <c r="O58" s="108" t="s">
        <v>136</v>
      </c>
    </row>
    <row r="59" spans="1:17" x14ac:dyDescent="0.2">
      <c r="E59" s="82" t="s">
        <v>203</v>
      </c>
      <c r="F59" s="93">
        <f>0.254*D58*100/1000</f>
        <v>7.6200000000000004E-2</v>
      </c>
      <c r="K59" s="109" t="str">
        <f>CONCATENATE("X",$F$17)</f>
        <v>X2</v>
      </c>
      <c r="L59" s="28">
        <f>$L$22</f>
        <v>300</v>
      </c>
      <c r="M59" s="110">
        <f>$M$22</f>
        <v>5</v>
      </c>
      <c r="N59" s="109">
        <f>$N$22</f>
        <v>18</v>
      </c>
      <c r="O59" s="92">
        <f>$O$22</f>
        <v>5.0000000000000001E-3</v>
      </c>
    </row>
    <row r="61" spans="1:17" x14ac:dyDescent="0.2">
      <c r="A61" s="111" t="s">
        <v>204</v>
      </c>
      <c r="B61" s="110">
        <v>1</v>
      </c>
      <c r="C61" s="92">
        <v>2</v>
      </c>
      <c r="D61" s="92">
        <v>3</v>
      </c>
      <c r="E61" s="92">
        <v>4</v>
      </c>
      <c r="F61" s="92">
        <v>5</v>
      </c>
      <c r="G61" s="92">
        <v>6</v>
      </c>
      <c r="H61" s="92">
        <v>7</v>
      </c>
      <c r="I61" s="92">
        <v>8</v>
      </c>
      <c r="J61" s="92">
        <v>9</v>
      </c>
      <c r="K61" s="92">
        <v>10</v>
      </c>
      <c r="L61" s="92">
        <v>11</v>
      </c>
      <c r="M61" s="92">
        <v>12</v>
      </c>
      <c r="N61" s="92">
        <v>13</v>
      </c>
      <c r="O61" s="92">
        <v>14</v>
      </c>
      <c r="P61" s="112">
        <v>15</v>
      </c>
    </row>
    <row r="62" spans="1:17" x14ac:dyDescent="0.2">
      <c r="A62" s="113" t="s">
        <v>143</v>
      </c>
      <c r="B62" s="114"/>
      <c r="C62" s="114"/>
      <c r="D62" s="114">
        <v>2</v>
      </c>
      <c r="E62" s="114"/>
      <c r="F62" s="114">
        <v>2</v>
      </c>
      <c r="G62" s="114"/>
      <c r="H62" s="114"/>
      <c r="I62" s="114">
        <v>1</v>
      </c>
      <c r="J62" s="114">
        <v>2</v>
      </c>
      <c r="K62" s="114"/>
      <c r="L62" s="114">
        <v>1</v>
      </c>
      <c r="M62" s="114"/>
      <c r="N62" s="114"/>
      <c r="O62" s="114">
        <v>1</v>
      </c>
      <c r="P62" s="115">
        <f>D9</f>
        <v>4.05</v>
      </c>
      <c r="Q62" s="76">
        <f>SUM(B62:O62)</f>
        <v>9</v>
      </c>
    </row>
    <row r="63" spans="1:17" hidden="1" x14ac:dyDescent="0.2">
      <c r="A63" s="93" t="s">
        <v>205</v>
      </c>
      <c r="B63" s="92">
        <v>4.3</v>
      </c>
      <c r="C63" s="92">
        <v>5.5</v>
      </c>
      <c r="D63" s="92">
        <v>6.4</v>
      </c>
      <c r="E63" s="92">
        <v>3</v>
      </c>
      <c r="F63" s="92">
        <v>1.4</v>
      </c>
      <c r="G63" s="92">
        <v>67</v>
      </c>
      <c r="H63" s="92">
        <v>34</v>
      </c>
      <c r="I63" s="92">
        <v>4.3</v>
      </c>
      <c r="J63" s="92">
        <v>13</v>
      </c>
      <c r="K63" s="92">
        <v>13</v>
      </c>
      <c r="L63" s="92">
        <v>52</v>
      </c>
      <c r="M63" s="92">
        <v>16</v>
      </c>
      <c r="N63" s="92">
        <v>25</v>
      </c>
      <c r="O63" s="92">
        <v>6</v>
      </c>
      <c r="P63" s="92">
        <v>1</v>
      </c>
    </row>
    <row r="64" spans="1:17" hidden="1" x14ac:dyDescent="0.2">
      <c r="A64" s="93" t="s">
        <v>206</v>
      </c>
      <c r="B64" s="92">
        <v>3.4</v>
      </c>
      <c r="C64" s="92">
        <v>4.3</v>
      </c>
      <c r="D64" s="92">
        <v>4.9000000000000004</v>
      </c>
      <c r="E64" s="92">
        <v>2.2999999999999998</v>
      </c>
      <c r="F64" s="92">
        <v>1.1000000000000001</v>
      </c>
      <c r="G64" s="92">
        <v>51</v>
      </c>
      <c r="H64" s="92">
        <v>26</v>
      </c>
      <c r="I64" s="92">
        <v>3.4</v>
      </c>
      <c r="J64" s="92">
        <v>10</v>
      </c>
      <c r="K64" s="92">
        <v>10</v>
      </c>
      <c r="L64" s="92">
        <v>39</v>
      </c>
      <c r="M64" s="92">
        <v>12.5</v>
      </c>
      <c r="N64" s="92">
        <v>19.3</v>
      </c>
      <c r="O64" s="92">
        <v>5</v>
      </c>
      <c r="P64" s="92">
        <v>1</v>
      </c>
    </row>
    <row r="65" spans="1:16" hidden="1" x14ac:dyDescent="0.2">
      <c r="A65" s="93" t="s">
        <v>207</v>
      </c>
      <c r="B65" s="92">
        <v>2.1</v>
      </c>
      <c r="C65" s="92">
        <v>2.8</v>
      </c>
      <c r="D65" s="92">
        <v>3.4</v>
      </c>
      <c r="E65" s="92">
        <v>1.5</v>
      </c>
      <c r="F65" s="92">
        <v>0.7</v>
      </c>
      <c r="G65" s="92">
        <v>34</v>
      </c>
      <c r="H65" s="92">
        <v>17</v>
      </c>
      <c r="I65" s="92">
        <v>2.1</v>
      </c>
      <c r="J65" s="92">
        <v>6.7</v>
      </c>
      <c r="K65" s="92">
        <v>6.7</v>
      </c>
      <c r="L65" s="92">
        <v>23</v>
      </c>
      <c r="M65" s="92">
        <v>8.4</v>
      </c>
      <c r="N65" s="92">
        <v>12.9</v>
      </c>
      <c r="O65" s="92">
        <v>3.2</v>
      </c>
      <c r="P65" s="92">
        <v>1</v>
      </c>
    </row>
    <row r="66" spans="1:16" hidden="1" x14ac:dyDescent="0.2">
      <c r="A66" s="93" t="s">
        <v>208</v>
      </c>
      <c r="B66" s="92">
        <v>1.6</v>
      </c>
      <c r="C66" s="92">
        <v>2.1</v>
      </c>
      <c r="D66" s="92">
        <v>2.5</v>
      </c>
      <c r="E66" s="92">
        <v>1.2</v>
      </c>
      <c r="F66" s="92">
        <v>0.5</v>
      </c>
      <c r="G66" s="92">
        <v>26</v>
      </c>
      <c r="H66" s="92">
        <v>13</v>
      </c>
      <c r="I66" s="92">
        <v>1.6</v>
      </c>
      <c r="J66" s="92">
        <v>5.2</v>
      </c>
      <c r="K66" s="92">
        <v>5.2</v>
      </c>
      <c r="L66" s="92">
        <v>20</v>
      </c>
      <c r="M66" s="92">
        <v>6.3</v>
      </c>
      <c r="N66" s="92">
        <v>9.6999999999999993</v>
      </c>
      <c r="O66" s="92">
        <v>2.2000000000000002</v>
      </c>
      <c r="P66" s="92">
        <v>1</v>
      </c>
    </row>
    <row r="67" spans="1:16" hidden="1" x14ac:dyDescent="0.2">
      <c r="A67" s="93" t="s">
        <v>209</v>
      </c>
      <c r="B67" s="92">
        <v>1.3</v>
      </c>
      <c r="C67" s="92">
        <v>1.7</v>
      </c>
      <c r="D67" s="92">
        <v>2</v>
      </c>
      <c r="E67" s="92">
        <v>0.9</v>
      </c>
      <c r="F67" s="92">
        <v>0.4</v>
      </c>
      <c r="G67" s="92">
        <v>21</v>
      </c>
      <c r="H67" s="92">
        <v>10</v>
      </c>
      <c r="I67" s="92">
        <v>1.3</v>
      </c>
      <c r="J67" s="92">
        <v>4.3</v>
      </c>
      <c r="K67" s="92">
        <v>4.3</v>
      </c>
      <c r="L67" s="92">
        <v>17</v>
      </c>
      <c r="M67" s="92">
        <v>5.2</v>
      </c>
      <c r="N67" s="92">
        <v>8.1</v>
      </c>
      <c r="O67" s="92">
        <v>1.9</v>
      </c>
      <c r="P67" s="92">
        <v>1</v>
      </c>
    </row>
    <row r="68" spans="1:16" hidden="1" x14ac:dyDescent="0.2">
      <c r="A68" s="93" t="s">
        <v>210</v>
      </c>
      <c r="B68" s="92">
        <v>1.1000000000000001</v>
      </c>
      <c r="C68" s="92">
        <v>1.4</v>
      </c>
      <c r="D68" s="92">
        <v>1.7</v>
      </c>
      <c r="E68" s="92">
        <v>0.8</v>
      </c>
      <c r="F68" s="92">
        <v>0.4</v>
      </c>
      <c r="G68" s="92">
        <v>17.399999999999999</v>
      </c>
      <c r="H68" s="92">
        <v>8.5</v>
      </c>
      <c r="I68" s="92">
        <v>1.1000000000000001</v>
      </c>
      <c r="J68" s="92">
        <v>3.5</v>
      </c>
      <c r="K68" s="92">
        <v>3.5</v>
      </c>
      <c r="L68" s="92">
        <v>14</v>
      </c>
      <c r="M68" s="92">
        <v>4.2</v>
      </c>
      <c r="N68" s="92">
        <v>6.4</v>
      </c>
      <c r="O68" s="92">
        <v>1.5</v>
      </c>
      <c r="P68" s="92">
        <v>1</v>
      </c>
    </row>
    <row r="69" spans="1:16" x14ac:dyDescent="0.2">
      <c r="A69" s="93" t="s">
        <v>211</v>
      </c>
      <c r="B69" s="92">
        <f t="shared" ref="B69:P69" si="0">IF(OR($D58=8,$D58=6,$D58=4,$D58=3,$D58=2.5,$D58=2),IF($D58=8,B63*B62,IF($D58=6,B64*B62,IF($D58=4,B65*B62,IF($D58=3,B66*B62,IF($D58=2.5,B67*B62,B68*B62))))),"")</f>
        <v>0</v>
      </c>
      <c r="C69" s="92">
        <f t="shared" si="0"/>
        <v>0</v>
      </c>
      <c r="D69" s="92">
        <f t="shared" si="0"/>
        <v>5</v>
      </c>
      <c r="E69" s="92">
        <f t="shared" si="0"/>
        <v>0</v>
      </c>
      <c r="F69" s="92">
        <f t="shared" si="0"/>
        <v>1</v>
      </c>
      <c r="G69" s="92">
        <f t="shared" si="0"/>
        <v>0</v>
      </c>
      <c r="H69" s="92">
        <f t="shared" si="0"/>
        <v>0</v>
      </c>
      <c r="I69" s="92">
        <f t="shared" si="0"/>
        <v>1.6</v>
      </c>
      <c r="J69" s="92">
        <f t="shared" si="0"/>
        <v>10.4</v>
      </c>
      <c r="K69" s="92">
        <f t="shared" si="0"/>
        <v>0</v>
      </c>
      <c r="L69" s="92">
        <f t="shared" si="0"/>
        <v>20</v>
      </c>
      <c r="M69" s="92">
        <f t="shared" si="0"/>
        <v>0</v>
      </c>
      <c r="N69" s="92">
        <f t="shared" si="0"/>
        <v>0</v>
      </c>
      <c r="O69" s="92">
        <f t="shared" si="0"/>
        <v>2.2000000000000002</v>
      </c>
      <c r="P69" s="92">
        <f t="shared" si="0"/>
        <v>4.05</v>
      </c>
    </row>
    <row r="70" spans="1:16" ht="13.5" thickBot="1" x14ac:dyDescent="0.25">
      <c r="B70" s="116"/>
      <c r="C70" s="116"/>
      <c r="D70" s="116"/>
      <c r="E70" s="116"/>
      <c r="F70" s="116"/>
      <c r="G70" s="116"/>
      <c r="H70" s="116"/>
      <c r="I70" s="116"/>
      <c r="J70" s="116"/>
      <c r="K70" s="116"/>
      <c r="L70" s="116"/>
      <c r="M70" s="116"/>
      <c r="N70" s="116"/>
      <c r="O70" s="116"/>
    </row>
    <row r="71" spans="1:16" x14ac:dyDescent="0.2">
      <c r="A71" s="76" t="s">
        <v>212</v>
      </c>
      <c r="F71" s="90">
        <f>SUM(B69:O69)</f>
        <v>40.200000000000003</v>
      </c>
      <c r="I71" s="117" t="s">
        <v>213</v>
      </c>
      <c r="N71" s="117" t="s">
        <v>214</v>
      </c>
    </row>
    <row r="72" spans="1:16" x14ac:dyDescent="0.2">
      <c r="A72" s="76" t="s">
        <v>215</v>
      </c>
      <c r="F72" s="90">
        <f>P69</f>
        <v>4.05</v>
      </c>
      <c r="I72" s="76" t="s">
        <v>216</v>
      </c>
      <c r="N72" s="118" t="s">
        <v>217</v>
      </c>
    </row>
    <row r="73" spans="1:16" x14ac:dyDescent="0.2">
      <c r="A73" s="76" t="s">
        <v>218</v>
      </c>
      <c r="F73" s="76">
        <f>F72+F71</f>
        <v>44.25</v>
      </c>
      <c r="I73" s="118" t="s">
        <v>219</v>
      </c>
    </row>
    <row r="74" spans="1:16" s="80" customFormat="1" x14ac:dyDescent="0.2">
      <c r="A74" s="76" t="s">
        <v>220</v>
      </c>
      <c r="F74" s="119">
        <f>(10.643*O59^1.85)/($G$27^1.85*F59^4.87)</f>
        <v>2.3364288195137372E-2</v>
      </c>
      <c r="G74" s="120"/>
      <c r="I74" s="118" t="s">
        <v>221</v>
      </c>
    </row>
    <row r="75" spans="1:16" s="80" customFormat="1" x14ac:dyDescent="0.2">
      <c r="A75" s="76" t="s">
        <v>222</v>
      </c>
      <c r="F75" s="39">
        <f>F74*F73</f>
        <v>1.0338697526348286</v>
      </c>
      <c r="I75" s="118" t="s">
        <v>223</v>
      </c>
    </row>
    <row r="78" spans="1:16" s="104" customFormat="1" x14ac:dyDescent="0.2">
      <c r="A78" s="104" t="s">
        <v>224</v>
      </c>
      <c r="E78" s="105"/>
      <c r="F78" s="104" t="s">
        <v>225</v>
      </c>
    </row>
    <row r="79" spans="1:16" x14ac:dyDescent="0.2">
      <c r="A79" s="76" t="s">
        <v>202</v>
      </c>
      <c r="D79" s="106">
        <f>I10</f>
        <v>2.5</v>
      </c>
      <c r="E79" s="82" t="s">
        <v>142</v>
      </c>
      <c r="F79" s="107">
        <f>0.254*D79*100</f>
        <v>63.5</v>
      </c>
      <c r="K79" s="92"/>
      <c r="L79" s="92" t="s">
        <v>133</v>
      </c>
      <c r="M79" s="92" t="s">
        <v>134</v>
      </c>
      <c r="N79" s="92" t="s">
        <v>135</v>
      </c>
      <c r="O79" s="108" t="s">
        <v>136</v>
      </c>
    </row>
    <row r="80" spans="1:16" x14ac:dyDescent="0.2">
      <c r="E80" s="82" t="s">
        <v>203</v>
      </c>
      <c r="F80" s="93">
        <f>0.254*D79*100/1000</f>
        <v>6.3500000000000001E-2</v>
      </c>
      <c r="K80" s="92" t="str">
        <f>CONCATENATE("X",$F$17)</f>
        <v>X2</v>
      </c>
      <c r="L80" s="121">
        <f>$L$22</f>
        <v>300</v>
      </c>
      <c r="M80" s="92">
        <f>$M$22</f>
        <v>5</v>
      </c>
      <c r="N80" s="109">
        <f>$N$22</f>
        <v>18</v>
      </c>
      <c r="O80" s="92">
        <f>$O$22</f>
        <v>5.0000000000000001E-3</v>
      </c>
    </row>
    <row r="82" spans="1:18" x14ac:dyDescent="0.2">
      <c r="A82" s="111" t="s">
        <v>204</v>
      </c>
      <c r="B82" s="110">
        <v>1</v>
      </c>
      <c r="C82" s="92">
        <v>2</v>
      </c>
      <c r="D82" s="92">
        <v>3</v>
      </c>
      <c r="E82" s="92">
        <v>4</v>
      </c>
      <c r="F82" s="92">
        <v>5</v>
      </c>
      <c r="G82" s="92">
        <v>6</v>
      </c>
      <c r="H82" s="92">
        <v>7</v>
      </c>
      <c r="I82" s="92">
        <v>8</v>
      </c>
      <c r="J82" s="92">
        <v>9</v>
      </c>
      <c r="K82" s="92">
        <v>10</v>
      </c>
      <c r="L82" s="92">
        <v>11</v>
      </c>
      <c r="M82" s="92">
        <v>12</v>
      </c>
      <c r="N82" s="92">
        <v>13</v>
      </c>
      <c r="O82" s="92">
        <v>14</v>
      </c>
      <c r="P82" s="92">
        <v>15</v>
      </c>
      <c r="Q82" s="92">
        <v>16</v>
      </c>
    </row>
    <row r="83" spans="1:18" x14ac:dyDescent="0.2">
      <c r="A83" s="113" t="s">
        <v>143</v>
      </c>
      <c r="B83" s="114"/>
      <c r="C83" s="114"/>
      <c r="D83" s="114">
        <v>6</v>
      </c>
      <c r="E83" s="114"/>
      <c r="F83" s="114">
        <v>1</v>
      </c>
      <c r="G83" s="114"/>
      <c r="H83" s="114">
        <v>2</v>
      </c>
      <c r="I83" s="114">
        <v>2</v>
      </c>
      <c r="J83" s="114">
        <v>3</v>
      </c>
      <c r="K83" s="114"/>
      <c r="L83" s="114"/>
      <c r="M83" s="114"/>
      <c r="N83" s="114">
        <v>1</v>
      </c>
      <c r="O83" s="114"/>
      <c r="P83" s="115">
        <f>I9</f>
        <v>28.5</v>
      </c>
      <c r="Q83" s="114"/>
      <c r="R83" s="76">
        <f>SUM(B83:O83)+Q83</f>
        <v>15</v>
      </c>
    </row>
    <row r="84" spans="1:18" hidden="1" x14ac:dyDescent="0.2">
      <c r="A84" s="93" t="s">
        <v>205</v>
      </c>
      <c r="B84" s="92">
        <v>4.3</v>
      </c>
      <c r="C84" s="92">
        <v>5.5</v>
      </c>
      <c r="D84" s="92">
        <v>6.4</v>
      </c>
      <c r="E84" s="92">
        <v>3</v>
      </c>
      <c r="F84" s="92">
        <v>1.4</v>
      </c>
      <c r="G84" s="92">
        <v>67</v>
      </c>
      <c r="H84" s="92">
        <v>34</v>
      </c>
      <c r="I84" s="92">
        <v>4.3</v>
      </c>
      <c r="J84" s="92">
        <v>13</v>
      </c>
      <c r="K84" s="92">
        <v>13</v>
      </c>
      <c r="L84" s="92">
        <v>52</v>
      </c>
      <c r="M84" s="92">
        <v>16</v>
      </c>
      <c r="N84" s="92">
        <v>25</v>
      </c>
      <c r="O84" s="92">
        <v>6</v>
      </c>
      <c r="P84" s="92">
        <v>1</v>
      </c>
      <c r="Q84" s="92"/>
    </row>
    <row r="85" spans="1:18" hidden="1" x14ac:dyDescent="0.2">
      <c r="A85" s="93" t="s">
        <v>206</v>
      </c>
      <c r="B85" s="92">
        <v>3.4</v>
      </c>
      <c r="C85" s="92">
        <v>4.3</v>
      </c>
      <c r="D85" s="92">
        <v>4.9000000000000004</v>
      </c>
      <c r="E85" s="92">
        <v>2.2999999999999998</v>
      </c>
      <c r="F85" s="92">
        <v>1.1000000000000001</v>
      </c>
      <c r="G85" s="92">
        <v>51</v>
      </c>
      <c r="H85" s="92">
        <v>26</v>
      </c>
      <c r="I85" s="92">
        <v>3.4</v>
      </c>
      <c r="J85" s="92">
        <v>10</v>
      </c>
      <c r="K85" s="92">
        <v>10</v>
      </c>
      <c r="L85" s="92">
        <v>39</v>
      </c>
      <c r="M85" s="92">
        <v>12.5</v>
      </c>
      <c r="N85" s="92">
        <v>19.3</v>
      </c>
      <c r="O85" s="92">
        <v>5</v>
      </c>
      <c r="P85" s="92">
        <v>1</v>
      </c>
      <c r="Q85" s="92">
        <v>1.2</v>
      </c>
    </row>
    <row r="86" spans="1:18" hidden="1" x14ac:dyDescent="0.2">
      <c r="A86" s="93" t="s">
        <v>207</v>
      </c>
      <c r="B86" s="92">
        <v>2.1</v>
      </c>
      <c r="C86" s="92">
        <v>2.8</v>
      </c>
      <c r="D86" s="92">
        <v>3.4</v>
      </c>
      <c r="E86" s="92">
        <v>1.5</v>
      </c>
      <c r="F86" s="92">
        <v>0.7</v>
      </c>
      <c r="G86" s="92">
        <v>34</v>
      </c>
      <c r="H86" s="92">
        <v>17</v>
      </c>
      <c r="I86" s="92">
        <v>2.1</v>
      </c>
      <c r="J86" s="92">
        <v>6.7</v>
      </c>
      <c r="K86" s="92">
        <v>6.7</v>
      </c>
      <c r="L86" s="92">
        <v>23</v>
      </c>
      <c r="M86" s="92">
        <v>8.4</v>
      </c>
      <c r="N86" s="92">
        <v>12.9</v>
      </c>
      <c r="O86" s="92">
        <v>3.2</v>
      </c>
      <c r="P86" s="92">
        <v>1</v>
      </c>
      <c r="Q86" s="92">
        <v>0.9</v>
      </c>
    </row>
    <row r="87" spans="1:18" hidden="1" x14ac:dyDescent="0.2">
      <c r="A87" s="93" t="s">
        <v>208</v>
      </c>
      <c r="B87" s="92">
        <v>1.6</v>
      </c>
      <c r="C87" s="92">
        <v>2.1</v>
      </c>
      <c r="D87" s="92">
        <v>2.5</v>
      </c>
      <c r="E87" s="92">
        <v>1.2</v>
      </c>
      <c r="F87" s="92">
        <v>0.5</v>
      </c>
      <c r="G87" s="92">
        <v>26</v>
      </c>
      <c r="H87" s="92">
        <v>13</v>
      </c>
      <c r="I87" s="92">
        <v>1.6</v>
      </c>
      <c r="J87" s="92">
        <v>5.2</v>
      </c>
      <c r="K87" s="92">
        <v>5.2</v>
      </c>
      <c r="L87" s="92">
        <v>20</v>
      </c>
      <c r="M87" s="92">
        <v>6.3</v>
      </c>
      <c r="N87" s="92">
        <v>9.6999999999999993</v>
      </c>
      <c r="O87" s="92">
        <v>2.2000000000000002</v>
      </c>
      <c r="P87" s="92">
        <v>1</v>
      </c>
      <c r="Q87" s="92">
        <v>0.8</v>
      </c>
    </row>
    <row r="88" spans="1:18" hidden="1" x14ac:dyDescent="0.2">
      <c r="A88" s="93" t="s">
        <v>209</v>
      </c>
      <c r="B88" s="92">
        <v>1.3</v>
      </c>
      <c r="C88" s="92">
        <v>1.7</v>
      </c>
      <c r="D88" s="92">
        <v>2</v>
      </c>
      <c r="E88" s="92">
        <v>0.9</v>
      </c>
      <c r="F88" s="92">
        <v>0.4</v>
      </c>
      <c r="G88" s="92">
        <v>21</v>
      </c>
      <c r="H88" s="92">
        <v>10</v>
      </c>
      <c r="I88" s="92">
        <v>1.3</v>
      </c>
      <c r="J88" s="92">
        <v>4.3</v>
      </c>
      <c r="K88" s="92">
        <v>4.3</v>
      </c>
      <c r="L88" s="92">
        <v>17</v>
      </c>
      <c r="M88" s="92">
        <v>5.2</v>
      </c>
      <c r="N88" s="92">
        <v>8.1</v>
      </c>
      <c r="O88" s="92">
        <v>1.9</v>
      </c>
      <c r="P88" s="92">
        <v>1</v>
      </c>
      <c r="Q88" s="92">
        <v>0.7</v>
      </c>
    </row>
    <row r="89" spans="1:18" hidden="1" x14ac:dyDescent="0.2">
      <c r="A89" s="93" t="s">
        <v>210</v>
      </c>
      <c r="B89" s="92">
        <v>1.1000000000000001</v>
      </c>
      <c r="C89" s="92">
        <v>1.4</v>
      </c>
      <c r="D89" s="92">
        <v>1.7</v>
      </c>
      <c r="E89" s="92">
        <v>0.8</v>
      </c>
      <c r="F89" s="92">
        <v>0.4</v>
      </c>
      <c r="G89" s="92">
        <v>17.399999999999999</v>
      </c>
      <c r="H89" s="92">
        <v>8.5</v>
      </c>
      <c r="I89" s="92">
        <v>1.1000000000000001</v>
      </c>
      <c r="J89" s="92">
        <v>3.5</v>
      </c>
      <c r="K89" s="92">
        <v>3.5</v>
      </c>
      <c r="L89" s="92">
        <v>14</v>
      </c>
      <c r="M89" s="92">
        <v>4.2</v>
      </c>
      <c r="N89" s="92">
        <v>6.4</v>
      </c>
      <c r="O89" s="92">
        <v>1.5</v>
      </c>
      <c r="P89" s="92">
        <v>1</v>
      </c>
      <c r="Q89" s="92">
        <v>0.6</v>
      </c>
    </row>
    <row r="90" spans="1:18" x14ac:dyDescent="0.2">
      <c r="A90" s="93" t="s">
        <v>211</v>
      </c>
      <c r="B90" s="92">
        <f t="shared" ref="B90:Q90" si="1">IF(OR($D79=8,$D79=6,$D79=4,$D79=3,$D79=2.5,$D79=2),IF($D79=8,B84*B83,IF($D79=6,B85*B83,IF($D79=4,B86*B83,IF($D79=3,B87*B83,IF($D79=2.5,B88*B83,B89*B83))))),"")</f>
        <v>0</v>
      </c>
      <c r="C90" s="92">
        <f t="shared" si="1"/>
        <v>0</v>
      </c>
      <c r="D90" s="92">
        <f t="shared" si="1"/>
        <v>12</v>
      </c>
      <c r="E90" s="92">
        <f t="shared" si="1"/>
        <v>0</v>
      </c>
      <c r="F90" s="92">
        <f t="shared" si="1"/>
        <v>0.4</v>
      </c>
      <c r="G90" s="92">
        <f t="shared" si="1"/>
        <v>0</v>
      </c>
      <c r="H90" s="92">
        <f t="shared" si="1"/>
        <v>20</v>
      </c>
      <c r="I90" s="92">
        <f t="shared" si="1"/>
        <v>2.6</v>
      </c>
      <c r="J90" s="92">
        <f t="shared" si="1"/>
        <v>12.899999999999999</v>
      </c>
      <c r="K90" s="92">
        <f t="shared" si="1"/>
        <v>0</v>
      </c>
      <c r="L90" s="92">
        <f t="shared" si="1"/>
        <v>0</v>
      </c>
      <c r="M90" s="92">
        <f t="shared" si="1"/>
        <v>0</v>
      </c>
      <c r="N90" s="92">
        <f t="shared" si="1"/>
        <v>8.1</v>
      </c>
      <c r="O90" s="92">
        <f t="shared" si="1"/>
        <v>0</v>
      </c>
      <c r="P90" s="92">
        <f t="shared" si="1"/>
        <v>28.5</v>
      </c>
      <c r="Q90" s="92">
        <f t="shared" si="1"/>
        <v>0</v>
      </c>
    </row>
    <row r="91" spans="1:18" ht="13.5" thickBot="1" x14ac:dyDescent="0.25"/>
    <row r="92" spans="1:18" x14ac:dyDescent="0.2">
      <c r="A92" s="76" t="s">
        <v>212</v>
      </c>
      <c r="F92" s="90">
        <f>SUM(B90:O90)+Q90</f>
        <v>56</v>
      </c>
      <c r="I92" s="117" t="s">
        <v>213</v>
      </c>
      <c r="N92" s="117" t="s">
        <v>226</v>
      </c>
    </row>
    <row r="93" spans="1:18" x14ac:dyDescent="0.2">
      <c r="A93" s="76" t="s">
        <v>215</v>
      </c>
      <c r="F93" s="90">
        <f>P90</f>
        <v>28.5</v>
      </c>
      <c r="I93" s="76" t="s">
        <v>216</v>
      </c>
      <c r="N93" s="118" t="s">
        <v>227</v>
      </c>
    </row>
    <row r="94" spans="1:18" x14ac:dyDescent="0.2">
      <c r="A94" s="76" t="s">
        <v>218</v>
      </c>
      <c r="F94" s="76">
        <f>F93+F92</f>
        <v>84.5</v>
      </c>
      <c r="I94" s="118" t="s">
        <v>219</v>
      </c>
    </row>
    <row r="95" spans="1:18" x14ac:dyDescent="0.2">
      <c r="A95" s="76" t="s">
        <v>220</v>
      </c>
      <c r="F95" s="119">
        <f>(10.643*O80^1.85)/($G$27^1.85*F80^4.87)</f>
        <v>5.6776056291973492E-2</v>
      </c>
      <c r="G95" s="122"/>
      <c r="I95" s="118" t="s">
        <v>221</v>
      </c>
      <c r="J95" s="80"/>
      <c r="K95" s="80"/>
      <c r="L95" s="80"/>
      <c r="M95" s="80"/>
    </row>
    <row r="96" spans="1:18" x14ac:dyDescent="0.2">
      <c r="A96" s="76" t="s">
        <v>228</v>
      </c>
      <c r="F96" s="39">
        <f>F95*F94</f>
        <v>4.7975767566717602</v>
      </c>
      <c r="G96" s="122"/>
      <c r="I96" s="118" t="s">
        <v>229</v>
      </c>
      <c r="J96" s="80"/>
      <c r="K96" s="80"/>
      <c r="L96" s="80"/>
      <c r="M96" s="80"/>
    </row>
    <row r="98" spans="1:17" s="104" customFormat="1" ht="13.5" thickBot="1" x14ac:dyDescent="0.25">
      <c r="A98" s="104" t="s">
        <v>224</v>
      </c>
      <c r="E98" s="105"/>
      <c r="F98" s="104" t="s">
        <v>230</v>
      </c>
    </row>
    <row r="99" spans="1:17" hidden="1" x14ac:dyDescent="0.2">
      <c r="A99" s="76" t="s">
        <v>202</v>
      </c>
      <c r="D99" s="106">
        <f>$N$10</f>
        <v>0</v>
      </c>
      <c r="E99" s="82" t="s">
        <v>142</v>
      </c>
      <c r="F99" s="107">
        <f>0.254*D99*100</f>
        <v>0</v>
      </c>
      <c r="K99" s="92" t="s">
        <v>231</v>
      </c>
      <c r="L99" s="108" t="s">
        <v>133</v>
      </c>
      <c r="M99" s="92" t="s">
        <v>134</v>
      </c>
      <c r="N99" s="92" t="s">
        <v>135</v>
      </c>
      <c r="O99" s="108" t="s">
        <v>136</v>
      </c>
    </row>
    <row r="100" spans="1:17" hidden="1" x14ac:dyDescent="0.2">
      <c r="E100" s="82" t="s">
        <v>203</v>
      </c>
      <c r="F100" s="93">
        <f>0.254*D99*100/1000</f>
        <v>0</v>
      </c>
      <c r="K100" s="109" t="str">
        <f>CONCATENATE("X",$F$17)</f>
        <v>X2</v>
      </c>
      <c r="L100" s="28">
        <f>$L$22</f>
        <v>300</v>
      </c>
      <c r="M100" s="110">
        <f>$M$22</f>
        <v>5</v>
      </c>
      <c r="N100" s="109">
        <f>$N$22</f>
        <v>18</v>
      </c>
      <c r="O100" s="92">
        <f>$O$22</f>
        <v>5.0000000000000001E-3</v>
      </c>
    </row>
    <row r="101" spans="1:17" hidden="1" x14ac:dyDescent="0.2"/>
    <row r="102" spans="1:17" hidden="1" x14ac:dyDescent="0.2">
      <c r="A102" s="111" t="s">
        <v>204</v>
      </c>
      <c r="B102" s="110">
        <v>1</v>
      </c>
      <c r="C102" s="92">
        <v>2</v>
      </c>
      <c r="D102" s="92">
        <v>3</v>
      </c>
      <c r="E102" s="92">
        <v>4</v>
      </c>
      <c r="F102" s="92">
        <v>5</v>
      </c>
      <c r="G102" s="92">
        <v>6</v>
      </c>
      <c r="H102" s="92">
        <v>7</v>
      </c>
      <c r="I102" s="92">
        <v>8</v>
      </c>
      <c r="J102" s="92">
        <v>9</v>
      </c>
      <c r="K102" s="92">
        <v>10</v>
      </c>
      <c r="L102" s="92">
        <v>11</v>
      </c>
      <c r="M102" s="92">
        <v>12</v>
      </c>
      <c r="N102" s="92">
        <v>13</v>
      </c>
      <c r="O102" s="92">
        <v>14</v>
      </c>
      <c r="P102" s="92">
        <v>15</v>
      </c>
      <c r="Q102" s="92">
        <v>16</v>
      </c>
    </row>
    <row r="103" spans="1:17" hidden="1" x14ac:dyDescent="0.2">
      <c r="A103" s="113" t="s">
        <v>143</v>
      </c>
      <c r="B103" s="114"/>
      <c r="C103" s="114"/>
      <c r="D103" s="114">
        <v>3</v>
      </c>
      <c r="E103" s="114"/>
      <c r="F103" s="114"/>
      <c r="G103" s="114"/>
      <c r="H103" s="114">
        <v>1</v>
      </c>
      <c r="I103" s="114">
        <v>1</v>
      </c>
      <c r="J103" s="114">
        <v>2</v>
      </c>
      <c r="K103" s="114"/>
      <c r="L103" s="114"/>
      <c r="M103" s="114"/>
      <c r="N103" s="114"/>
      <c r="O103" s="114"/>
      <c r="P103" s="115">
        <f>N9</f>
        <v>0</v>
      </c>
      <c r="Q103" s="114">
        <v>2</v>
      </c>
    </row>
    <row r="104" spans="1:17" hidden="1" x14ac:dyDescent="0.2">
      <c r="A104" s="93" t="s">
        <v>205</v>
      </c>
      <c r="B104" s="92">
        <v>4.3</v>
      </c>
      <c r="C104" s="92">
        <v>5.5</v>
      </c>
      <c r="D104" s="92">
        <v>6.4</v>
      </c>
      <c r="E104" s="92">
        <v>3</v>
      </c>
      <c r="F104" s="92">
        <v>1.4</v>
      </c>
      <c r="G104" s="92">
        <v>67</v>
      </c>
      <c r="H104" s="92">
        <v>34</v>
      </c>
      <c r="I104" s="92">
        <v>4.3</v>
      </c>
      <c r="J104" s="92">
        <v>13</v>
      </c>
      <c r="K104" s="92">
        <v>13</v>
      </c>
      <c r="L104" s="92">
        <v>52</v>
      </c>
      <c r="M104" s="92">
        <v>16</v>
      </c>
      <c r="N104" s="92">
        <v>25</v>
      </c>
      <c r="O104" s="92">
        <v>6</v>
      </c>
      <c r="P104" s="92">
        <v>1</v>
      </c>
      <c r="Q104" s="92"/>
    </row>
    <row r="105" spans="1:17" hidden="1" x14ac:dyDescent="0.2">
      <c r="A105" s="93" t="s">
        <v>206</v>
      </c>
      <c r="B105" s="92">
        <v>3.4</v>
      </c>
      <c r="C105" s="92">
        <v>4.3</v>
      </c>
      <c r="D105" s="92">
        <v>4.9000000000000004</v>
      </c>
      <c r="E105" s="92">
        <v>2.2999999999999998</v>
      </c>
      <c r="F105" s="92">
        <v>1.1000000000000001</v>
      </c>
      <c r="G105" s="92">
        <v>51</v>
      </c>
      <c r="H105" s="92">
        <v>26</v>
      </c>
      <c r="I105" s="92">
        <v>3.4</v>
      </c>
      <c r="J105" s="92">
        <v>10</v>
      </c>
      <c r="K105" s="92">
        <v>10</v>
      </c>
      <c r="L105" s="92">
        <v>39</v>
      </c>
      <c r="M105" s="92">
        <v>12.5</v>
      </c>
      <c r="N105" s="92">
        <v>19.3</v>
      </c>
      <c r="O105" s="92">
        <v>5</v>
      </c>
      <c r="P105" s="92">
        <v>1</v>
      </c>
      <c r="Q105" s="92">
        <v>1.2</v>
      </c>
    </row>
    <row r="106" spans="1:17" hidden="1" x14ac:dyDescent="0.2">
      <c r="A106" s="93" t="s">
        <v>207</v>
      </c>
      <c r="B106" s="92">
        <v>2.1</v>
      </c>
      <c r="C106" s="92">
        <v>2.8</v>
      </c>
      <c r="D106" s="92">
        <v>3.4</v>
      </c>
      <c r="E106" s="92">
        <v>1.5</v>
      </c>
      <c r="F106" s="92">
        <v>0.7</v>
      </c>
      <c r="G106" s="92">
        <v>34</v>
      </c>
      <c r="H106" s="92">
        <v>17</v>
      </c>
      <c r="I106" s="92">
        <v>2.1</v>
      </c>
      <c r="J106" s="92">
        <v>6.7</v>
      </c>
      <c r="K106" s="92">
        <v>6.7</v>
      </c>
      <c r="L106" s="92">
        <v>23</v>
      </c>
      <c r="M106" s="92">
        <v>8.4</v>
      </c>
      <c r="N106" s="92">
        <v>12.9</v>
      </c>
      <c r="O106" s="92">
        <v>3.2</v>
      </c>
      <c r="P106" s="92">
        <v>1</v>
      </c>
      <c r="Q106" s="92">
        <v>0.9</v>
      </c>
    </row>
    <row r="107" spans="1:17" hidden="1" x14ac:dyDescent="0.2">
      <c r="A107" s="93" t="s">
        <v>208</v>
      </c>
      <c r="B107" s="92">
        <v>1.6</v>
      </c>
      <c r="C107" s="92">
        <v>2.1</v>
      </c>
      <c r="D107" s="92">
        <v>2.5</v>
      </c>
      <c r="E107" s="92">
        <v>1.2</v>
      </c>
      <c r="F107" s="92">
        <v>0.5</v>
      </c>
      <c r="G107" s="92">
        <v>26</v>
      </c>
      <c r="H107" s="92">
        <v>13</v>
      </c>
      <c r="I107" s="92">
        <v>1.6</v>
      </c>
      <c r="J107" s="92">
        <v>5.2</v>
      </c>
      <c r="K107" s="92">
        <v>5.2</v>
      </c>
      <c r="L107" s="92">
        <v>20</v>
      </c>
      <c r="M107" s="92">
        <v>6.3</v>
      </c>
      <c r="N107" s="92">
        <v>9.6999999999999993</v>
      </c>
      <c r="O107" s="92">
        <v>2.2000000000000002</v>
      </c>
      <c r="P107" s="92">
        <v>1</v>
      </c>
      <c r="Q107" s="92">
        <v>0.8</v>
      </c>
    </row>
    <row r="108" spans="1:17" hidden="1" x14ac:dyDescent="0.2">
      <c r="A108" s="93" t="s">
        <v>209</v>
      </c>
      <c r="B108" s="92">
        <v>1.3</v>
      </c>
      <c r="C108" s="92">
        <v>1.7</v>
      </c>
      <c r="D108" s="92">
        <v>2</v>
      </c>
      <c r="E108" s="92">
        <v>0.9</v>
      </c>
      <c r="F108" s="92">
        <v>0.4</v>
      </c>
      <c r="G108" s="92">
        <v>21</v>
      </c>
      <c r="H108" s="92">
        <v>10</v>
      </c>
      <c r="I108" s="92">
        <v>1.3</v>
      </c>
      <c r="J108" s="92">
        <v>4.3</v>
      </c>
      <c r="K108" s="92">
        <v>4.3</v>
      </c>
      <c r="L108" s="92">
        <v>17</v>
      </c>
      <c r="M108" s="92">
        <v>5.2</v>
      </c>
      <c r="N108" s="92">
        <v>8.1</v>
      </c>
      <c r="O108" s="92">
        <v>1.9</v>
      </c>
      <c r="P108" s="92">
        <v>1</v>
      </c>
      <c r="Q108" s="92">
        <v>0.7</v>
      </c>
    </row>
    <row r="109" spans="1:17" hidden="1" x14ac:dyDescent="0.2">
      <c r="A109" s="93" t="s">
        <v>210</v>
      </c>
      <c r="B109" s="92">
        <v>1.1000000000000001</v>
      </c>
      <c r="C109" s="92">
        <v>1.4</v>
      </c>
      <c r="D109" s="92">
        <v>1.7</v>
      </c>
      <c r="E109" s="92">
        <v>0.8</v>
      </c>
      <c r="F109" s="92">
        <v>0.4</v>
      </c>
      <c r="G109" s="92">
        <v>17.399999999999999</v>
      </c>
      <c r="H109" s="92">
        <v>8.5</v>
      </c>
      <c r="I109" s="92">
        <v>1.1000000000000001</v>
      </c>
      <c r="J109" s="92">
        <v>3.5</v>
      </c>
      <c r="K109" s="92">
        <v>3.5</v>
      </c>
      <c r="L109" s="92">
        <v>14</v>
      </c>
      <c r="M109" s="92">
        <v>4.2</v>
      </c>
      <c r="N109" s="92">
        <v>6.4</v>
      </c>
      <c r="O109" s="92">
        <v>1.5</v>
      </c>
      <c r="P109" s="92">
        <v>1</v>
      </c>
      <c r="Q109" s="92">
        <v>0.6</v>
      </c>
    </row>
    <row r="110" spans="1:17" hidden="1" x14ac:dyDescent="0.2">
      <c r="A110" s="93" t="s">
        <v>211</v>
      </c>
      <c r="B110" s="92" t="str">
        <f t="shared" ref="B110:Q110" si="2">IF(OR($D99=8,$D99=6,$D99=4,$D99=3,$D99=2.5,$D99=2),IF($D99=8,B104*B103,IF($D99=6,B105*B103,IF($D99=4,B106*B103,IF($D99=3,B107*B103,IF($D99=2.5,B108*B103,B109*B103))))),"")</f>
        <v/>
      </c>
      <c r="C110" s="92" t="str">
        <f t="shared" si="2"/>
        <v/>
      </c>
      <c r="D110" s="92" t="str">
        <f t="shared" si="2"/>
        <v/>
      </c>
      <c r="E110" s="92" t="str">
        <f t="shared" si="2"/>
        <v/>
      </c>
      <c r="F110" s="92" t="str">
        <f t="shared" si="2"/>
        <v/>
      </c>
      <c r="G110" s="92" t="str">
        <f t="shared" si="2"/>
        <v/>
      </c>
      <c r="H110" s="92" t="str">
        <f t="shared" si="2"/>
        <v/>
      </c>
      <c r="I110" s="92" t="str">
        <f t="shared" si="2"/>
        <v/>
      </c>
      <c r="J110" s="92" t="str">
        <f t="shared" si="2"/>
        <v/>
      </c>
      <c r="K110" s="92" t="str">
        <f t="shared" si="2"/>
        <v/>
      </c>
      <c r="L110" s="92" t="str">
        <f t="shared" si="2"/>
        <v/>
      </c>
      <c r="M110" s="92" t="str">
        <f t="shared" si="2"/>
        <v/>
      </c>
      <c r="N110" s="92" t="str">
        <f t="shared" si="2"/>
        <v/>
      </c>
      <c r="O110" s="92" t="str">
        <f t="shared" si="2"/>
        <v/>
      </c>
      <c r="P110" s="92" t="str">
        <f t="shared" si="2"/>
        <v/>
      </c>
      <c r="Q110" s="92" t="str">
        <f t="shared" si="2"/>
        <v/>
      </c>
    </row>
    <row r="111" spans="1:17" hidden="1" x14ac:dyDescent="0.2">
      <c r="Q111" s="123"/>
    </row>
    <row r="112" spans="1:17" hidden="1" x14ac:dyDescent="0.2">
      <c r="A112" s="76" t="s">
        <v>212</v>
      </c>
      <c r="F112" s="90" t="e">
        <f>SUM(B110:O110)+Q110</f>
        <v>#VALUE!</v>
      </c>
      <c r="I112" s="117" t="s">
        <v>213</v>
      </c>
      <c r="N112" s="117" t="s">
        <v>226</v>
      </c>
    </row>
    <row r="113" spans="1:17" hidden="1" x14ac:dyDescent="0.2">
      <c r="A113" s="76" t="s">
        <v>215</v>
      </c>
      <c r="F113" s="90" t="str">
        <f>P110</f>
        <v/>
      </c>
      <c r="I113" s="76" t="s">
        <v>216</v>
      </c>
      <c r="N113" s="118" t="s">
        <v>227</v>
      </c>
    </row>
    <row r="114" spans="1:17" hidden="1" x14ac:dyDescent="0.2">
      <c r="A114" s="76" t="s">
        <v>218</v>
      </c>
      <c r="F114" s="76" t="e">
        <f>F113+F112</f>
        <v>#VALUE!</v>
      </c>
      <c r="I114" s="118" t="s">
        <v>219</v>
      </c>
    </row>
    <row r="115" spans="1:17" s="80" customFormat="1" hidden="1" x14ac:dyDescent="0.2">
      <c r="A115" s="76" t="s">
        <v>220</v>
      </c>
      <c r="B115" s="76"/>
      <c r="C115" s="76"/>
      <c r="D115" s="76"/>
      <c r="E115" s="76"/>
      <c r="F115" s="119" t="e">
        <f>(10.643*O100^1.85)/($G$27^1.85*F100^4.87)</f>
        <v>#DIV/0!</v>
      </c>
      <c r="I115" s="118" t="s">
        <v>221</v>
      </c>
      <c r="N115" s="76"/>
    </row>
    <row r="116" spans="1:17" s="80" customFormat="1" hidden="1" x14ac:dyDescent="0.2">
      <c r="A116" s="76" t="s">
        <v>228</v>
      </c>
      <c r="F116" s="39">
        <f>IF(D99=0,0,F115*F114)</f>
        <v>0</v>
      </c>
      <c r="I116" s="118" t="s">
        <v>229</v>
      </c>
      <c r="N116" s="76"/>
    </row>
    <row r="117" spans="1:17" hidden="1" x14ac:dyDescent="0.2"/>
    <row r="118" spans="1:17" s="104" customFormat="1" hidden="1" x14ac:dyDescent="0.2">
      <c r="A118" s="104" t="s">
        <v>224</v>
      </c>
      <c r="E118" s="105"/>
      <c r="F118" s="104" t="s">
        <v>232</v>
      </c>
    </row>
    <row r="119" spans="1:17" hidden="1" x14ac:dyDescent="0.2">
      <c r="A119" s="76" t="s">
        <v>202</v>
      </c>
      <c r="D119" s="106">
        <f>$I$13</f>
        <v>0</v>
      </c>
      <c r="E119" s="82" t="s">
        <v>142</v>
      </c>
      <c r="F119" s="107">
        <f>0.254*D119*100</f>
        <v>0</v>
      </c>
      <c r="K119" s="92" t="s">
        <v>231</v>
      </c>
      <c r="L119" s="108" t="s">
        <v>133</v>
      </c>
      <c r="M119" s="92" t="s">
        <v>134</v>
      </c>
      <c r="N119" s="92" t="s">
        <v>135</v>
      </c>
      <c r="O119" s="108" t="s">
        <v>136</v>
      </c>
    </row>
    <row r="120" spans="1:17" hidden="1" x14ac:dyDescent="0.2">
      <c r="E120" s="82" t="s">
        <v>203</v>
      </c>
      <c r="F120" s="93">
        <f>0.254*D119*100/1000</f>
        <v>0</v>
      </c>
      <c r="K120" s="109" t="str">
        <f>CONCATENATE("X",$F$17)</f>
        <v>X2</v>
      </c>
      <c r="L120" s="28">
        <f>$L$22</f>
        <v>300</v>
      </c>
      <c r="M120" s="110">
        <f>$M$22</f>
        <v>5</v>
      </c>
      <c r="N120" s="109">
        <f>$N$22</f>
        <v>18</v>
      </c>
      <c r="O120" s="92">
        <f>$O$22</f>
        <v>5.0000000000000001E-3</v>
      </c>
    </row>
    <row r="121" spans="1:17" hidden="1" x14ac:dyDescent="0.2">
      <c r="B121" s="114"/>
      <c r="C121" s="114"/>
      <c r="D121" s="114"/>
      <c r="E121" s="114"/>
      <c r="F121" s="114"/>
      <c r="G121" s="114"/>
      <c r="H121" s="114"/>
      <c r="I121" s="114"/>
      <c r="J121" s="114"/>
      <c r="K121" s="114"/>
      <c r="L121" s="114"/>
      <c r="M121" s="114"/>
      <c r="N121" s="114"/>
      <c r="O121" s="114"/>
      <c r="P121" s="124">
        <f>I10</f>
        <v>2.5</v>
      </c>
      <c r="Q121" s="114"/>
    </row>
    <row r="122" spans="1:17" hidden="1" x14ac:dyDescent="0.2">
      <c r="A122" s="111" t="s">
        <v>204</v>
      </c>
      <c r="B122" s="110">
        <v>1</v>
      </c>
      <c r="C122" s="92">
        <v>2</v>
      </c>
      <c r="D122" s="92">
        <v>3</v>
      </c>
      <c r="E122" s="92">
        <v>4</v>
      </c>
      <c r="F122" s="92">
        <v>5</v>
      </c>
      <c r="G122" s="92">
        <v>6</v>
      </c>
      <c r="H122" s="92">
        <v>7</v>
      </c>
      <c r="I122" s="92">
        <v>8</v>
      </c>
      <c r="J122" s="92">
        <v>9</v>
      </c>
      <c r="K122" s="92">
        <v>10</v>
      </c>
      <c r="L122" s="92">
        <v>11</v>
      </c>
      <c r="M122" s="92">
        <v>12</v>
      </c>
      <c r="N122" s="92">
        <v>13</v>
      </c>
      <c r="O122" s="92">
        <v>14</v>
      </c>
      <c r="P122" s="92">
        <v>15</v>
      </c>
      <c r="Q122" s="92">
        <v>16</v>
      </c>
    </row>
    <row r="123" spans="1:17" hidden="1" x14ac:dyDescent="0.2">
      <c r="A123" s="113" t="s">
        <v>143</v>
      </c>
      <c r="B123" s="114"/>
      <c r="C123" s="114"/>
      <c r="D123" s="114"/>
      <c r="E123" s="114"/>
      <c r="F123" s="114"/>
      <c r="G123" s="114"/>
      <c r="H123" s="114"/>
      <c r="I123" s="114"/>
      <c r="J123" s="114"/>
      <c r="K123" s="114"/>
      <c r="L123" s="114"/>
      <c r="M123" s="114"/>
      <c r="N123" s="114"/>
      <c r="O123" s="114"/>
      <c r="P123" s="115">
        <f>I12</f>
        <v>0</v>
      </c>
      <c r="Q123" s="114"/>
    </row>
    <row r="124" spans="1:17" hidden="1" x14ac:dyDescent="0.2">
      <c r="A124" s="93" t="s">
        <v>205</v>
      </c>
      <c r="B124" s="92">
        <v>4.3</v>
      </c>
      <c r="C124" s="92">
        <v>5.5</v>
      </c>
      <c r="D124" s="92">
        <v>6.4</v>
      </c>
      <c r="E124" s="92">
        <v>3</v>
      </c>
      <c r="F124" s="92">
        <v>1.4</v>
      </c>
      <c r="G124" s="92">
        <v>67</v>
      </c>
      <c r="H124" s="92">
        <v>34</v>
      </c>
      <c r="I124" s="92">
        <v>4.3</v>
      </c>
      <c r="J124" s="92">
        <v>13</v>
      </c>
      <c r="K124" s="92">
        <v>13</v>
      </c>
      <c r="L124" s="92">
        <v>52</v>
      </c>
      <c r="M124" s="92">
        <v>16</v>
      </c>
      <c r="N124" s="92">
        <v>25</v>
      </c>
      <c r="O124" s="92">
        <v>6</v>
      </c>
      <c r="P124" s="92">
        <v>1</v>
      </c>
      <c r="Q124" s="92"/>
    </row>
    <row r="125" spans="1:17" hidden="1" x14ac:dyDescent="0.2">
      <c r="A125" s="93" t="s">
        <v>206</v>
      </c>
      <c r="B125" s="92">
        <v>3.4</v>
      </c>
      <c r="C125" s="92">
        <v>4.3</v>
      </c>
      <c r="D125" s="92">
        <v>4.9000000000000004</v>
      </c>
      <c r="E125" s="92">
        <v>2.2999999999999998</v>
      </c>
      <c r="F125" s="92">
        <v>1.1000000000000001</v>
      </c>
      <c r="G125" s="92">
        <v>51</v>
      </c>
      <c r="H125" s="92">
        <v>26</v>
      </c>
      <c r="I125" s="92">
        <v>3.4</v>
      </c>
      <c r="J125" s="92">
        <v>10</v>
      </c>
      <c r="K125" s="92">
        <v>10</v>
      </c>
      <c r="L125" s="92">
        <v>39</v>
      </c>
      <c r="M125" s="92">
        <v>12.5</v>
      </c>
      <c r="N125" s="92">
        <v>19.3</v>
      </c>
      <c r="O125" s="92">
        <v>5</v>
      </c>
      <c r="P125" s="92">
        <v>1</v>
      </c>
      <c r="Q125" s="92">
        <v>1.2</v>
      </c>
    </row>
    <row r="126" spans="1:17" hidden="1" x14ac:dyDescent="0.2">
      <c r="A126" s="93" t="s">
        <v>207</v>
      </c>
      <c r="B126" s="92">
        <v>2.1</v>
      </c>
      <c r="C126" s="92">
        <v>2.8</v>
      </c>
      <c r="D126" s="92">
        <v>3.4</v>
      </c>
      <c r="E126" s="92">
        <v>1.5</v>
      </c>
      <c r="F126" s="92">
        <v>0.7</v>
      </c>
      <c r="G126" s="92">
        <v>34</v>
      </c>
      <c r="H126" s="92">
        <v>17</v>
      </c>
      <c r="I126" s="92">
        <v>2.1</v>
      </c>
      <c r="J126" s="92">
        <v>6.7</v>
      </c>
      <c r="K126" s="92">
        <v>6.7</v>
      </c>
      <c r="L126" s="92">
        <v>23</v>
      </c>
      <c r="M126" s="92">
        <v>8.4</v>
      </c>
      <c r="N126" s="92">
        <v>12.9</v>
      </c>
      <c r="O126" s="92">
        <v>3.2</v>
      </c>
      <c r="P126" s="92">
        <v>1</v>
      </c>
      <c r="Q126" s="92">
        <v>0.9</v>
      </c>
    </row>
    <row r="127" spans="1:17" hidden="1" x14ac:dyDescent="0.2">
      <c r="A127" s="93" t="s">
        <v>208</v>
      </c>
      <c r="B127" s="92">
        <v>1.6</v>
      </c>
      <c r="C127" s="92">
        <v>2.1</v>
      </c>
      <c r="D127" s="92">
        <v>2.5</v>
      </c>
      <c r="E127" s="92">
        <v>1.2</v>
      </c>
      <c r="F127" s="92">
        <v>0.5</v>
      </c>
      <c r="G127" s="92">
        <v>26</v>
      </c>
      <c r="H127" s="92">
        <v>13</v>
      </c>
      <c r="I127" s="92">
        <v>1.6</v>
      </c>
      <c r="J127" s="92">
        <v>5.2</v>
      </c>
      <c r="K127" s="92">
        <v>5.2</v>
      </c>
      <c r="L127" s="92">
        <v>20</v>
      </c>
      <c r="M127" s="92">
        <v>6.3</v>
      </c>
      <c r="N127" s="92">
        <v>9.6999999999999993</v>
      </c>
      <c r="O127" s="92">
        <v>2.2000000000000002</v>
      </c>
      <c r="P127" s="92">
        <v>1</v>
      </c>
      <c r="Q127" s="92">
        <v>0.8</v>
      </c>
    </row>
    <row r="128" spans="1:17" hidden="1" x14ac:dyDescent="0.2">
      <c r="A128" s="93" t="s">
        <v>209</v>
      </c>
      <c r="B128" s="92">
        <v>1.3</v>
      </c>
      <c r="C128" s="92">
        <v>1.7</v>
      </c>
      <c r="D128" s="92">
        <v>2</v>
      </c>
      <c r="E128" s="92">
        <v>0.9</v>
      </c>
      <c r="F128" s="92">
        <v>0.4</v>
      </c>
      <c r="G128" s="92">
        <v>21</v>
      </c>
      <c r="H128" s="92">
        <v>10</v>
      </c>
      <c r="I128" s="92">
        <v>1.3</v>
      </c>
      <c r="J128" s="92">
        <v>4.3</v>
      </c>
      <c r="K128" s="92">
        <v>4.3</v>
      </c>
      <c r="L128" s="92">
        <v>17</v>
      </c>
      <c r="M128" s="92">
        <v>5.2</v>
      </c>
      <c r="N128" s="92">
        <v>8.1</v>
      </c>
      <c r="O128" s="92">
        <v>1.9</v>
      </c>
      <c r="P128" s="92">
        <v>1</v>
      </c>
      <c r="Q128" s="92">
        <v>0.7</v>
      </c>
    </row>
    <row r="129" spans="1:17" hidden="1" x14ac:dyDescent="0.2">
      <c r="A129" s="93" t="s">
        <v>210</v>
      </c>
      <c r="B129" s="92">
        <v>1.1000000000000001</v>
      </c>
      <c r="C129" s="92">
        <v>1.4</v>
      </c>
      <c r="D129" s="92">
        <v>1.7</v>
      </c>
      <c r="E129" s="92">
        <v>0.8</v>
      </c>
      <c r="F129" s="92">
        <v>0.4</v>
      </c>
      <c r="G129" s="92">
        <v>17.399999999999999</v>
      </c>
      <c r="H129" s="92">
        <v>8.5</v>
      </c>
      <c r="I129" s="92">
        <v>1.1000000000000001</v>
      </c>
      <c r="J129" s="92">
        <v>3.5</v>
      </c>
      <c r="K129" s="92">
        <v>3.5</v>
      </c>
      <c r="L129" s="92">
        <v>14</v>
      </c>
      <c r="M129" s="92">
        <v>4.2</v>
      </c>
      <c r="N129" s="92">
        <v>6.4</v>
      </c>
      <c r="O129" s="92">
        <v>1.5</v>
      </c>
      <c r="P129" s="92">
        <v>1</v>
      </c>
      <c r="Q129" s="92">
        <v>0.6</v>
      </c>
    </row>
    <row r="130" spans="1:17" hidden="1" x14ac:dyDescent="0.2">
      <c r="A130" s="93" t="s">
        <v>211</v>
      </c>
      <c r="B130" s="92" t="str">
        <f t="shared" ref="B130:Q130" si="3">IF(OR($D119=8,$D119=6,$D119=4,$D119=3,$D119=2.5),IF($D119=8,B124*B123,IF($D119=6,B125*B123,IF($D119=4,B126*B123,IF($D119=3,B127*B123,B128*B123)))),"")</f>
        <v/>
      </c>
      <c r="C130" s="92" t="str">
        <f t="shared" si="3"/>
        <v/>
      </c>
      <c r="D130" s="92" t="str">
        <f t="shared" si="3"/>
        <v/>
      </c>
      <c r="E130" s="92" t="str">
        <f t="shared" si="3"/>
        <v/>
      </c>
      <c r="F130" s="92" t="str">
        <f t="shared" si="3"/>
        <v/>
      </c>
      <c r="G130" s="92" t="str">
        <f t="shared" si="3"/>
        <v/>
      </c>
      <c r="H130" s="92" t="str">
        <f t="shared" si="3"/>
        <v/>
      </c>
      <c r="I130" s="92" t="str">
        <f t="shared" si="3"/>
        <v/>
      </c>
      <c r="J130" s="92" t="str">
        <f t="shared" si="3"/>
        <v/>
      </c>
      <c r="K130" s="92" t="str">
        <f t="shared" si="3"/>
        <v/>
      </c>
      <c r="L130" s="92" t="str">
        <f t="shared" si="3"/>
        <v/>
      </c>
      <c r="M130" s="92" t="str">
        <f t="shared" si="3"/>
        <v/>
      </c>
      <c r="N130" s="92" t="str">
        <f t="shared" si="3"/>
        <v/>
      </c>
      <c r="O130" s="92" t="str">
        <f t="shared" si="3"/>
        <v/>
      </c>
      <c r="P130" s="92" t="str">
        <f t="shared" si="3"/>
        <v/>
      </c>
      <c r="Q130" s="92" t="str">
        <f t="shared" si="3"/>
        <v/>
      </c>
    </row>
    <row r="131" spans="1:17" hidden="1" x14ac:dyDescent="0.2">
      <c r="Q131" s="123"/>
    </row>
    <row r="132" spans="1:17" hidden="1" x14ac:dyDescent="0.2">
      <c r="A132" s="76" t="s">
        <v>212</v>
      </c>
      <c r="F132" s="90" t="e">
        <f>SUM(B130:O130)+Q130</f>
        <v>#VALUE!</v>
      </c>
      <c r="I132" s="117" t="s">
        <v>213</v>
      </c>
      <c r="N132" s="117" t="s">
        <v>226</v>
      </c>
    </row>
    <row r="133" spans="1:17" hidden="1" x14ac:dyDescent="0.2">
      <c r="A133" s="76" t="s">
        <v>215</v>
      </c>
      <c r="F133" s="90" t="str">
        <f>P130</f>
        <v/>
      </c>
      <c r="I133" s="76" t="s">
        <v>216</v>
      </c>
      <c r="N133" s="118" t="s">
        <v>227</v>
      </c>
    </row>
    <row r="134" spans="1:17" hidden="1" x14ac:dyDescent="0.2">
      <c r="A134" s="76" t="s">
        <v>218</v>
      </c>
      <c r="F134" s="76" t="e">
        <f>F133+F132</f>
        <v>#VALUE!</v>
      </c>
      <c r="I134" s="118" t="s">
        <v>219</v>
      </c>
    </row>
    <row r="135" spans="1:17" s="80" customFormat="1" hidden="1" x14ac:dyDescent="0.2">
      <c r="A135" s="76" t="s">
        <v>220</v>
      </c>
      <c r="B135" s="76"/>
      <c r="C135" s="76"/>
      <c r="D135" s="76"/>
      <c r="E135" s="76"/>
      <c r="F135" s="119" t="e">
        <f>(10.643*O120^1.85)/($G$27^1.85*F120^4.87)</f>
        <v>#DIV/0!</v>
      </c>
      <c r="I135" s="118" t="s">
        <v>221</v>
      </c>
      <c r="N135" s="76"/>
    </row>
    <row r="136" spans="1:17" s="80" customFormat="1" hidden="1" x14ac:dyDescent="0.2">
      <c r="A136" s="76" t="s">
        <v>228</v>
      </c>
      <c r="F136" s="39">
        <f>IF(D119=0,0,F135*F134)</f>
        <v>0</v>
      </c>
      <c r="I136" s="118" t="s">
        <v>229</v>
      </c>
      <c r="N136" s="76"/>
    </row>
    <row r="137" spans="1:17" hidden="1" x14ac:dyDescent="0.2"/>
    <row r="138" spans="1:17" s="104" customFormat="1" hidden="1" x14ac:dyDescent="0.2">
      <c r="A138" s="104" t="s">
        <v>224</v>
      </c>
      <c r="E138" s="105"/>
      <c r="F138" s="104" t="s">
        <v>233</v>
      </c>
    </row>
    <row r="139" spans="1:17" hidden="1" x14ac:dyDescent="0.2">
      <c r="A139" s="76" t="s">
        <v>202</v>
      </c>
      <c r="D139" s="106">
        <f>$N$13</f>
        <v>0</v>
      </c>
      <c r="E139" s="82" t="s">
        <v>142</v>
      </c>
      <c r="F139" s="107">
        <f>0.254*D139*100</f>
        <v>0</v>
      </c>
      <c r="K139" s="92" t="s">
        <v>231</v>
      </c>
      <c r="L139" s="108" t="s">
        <v>133</v>
      </c>
      <c r="M139" s="92" t="s">
        <v>134</v>
      </c>
      <c r="N139" s="92" t="s">
        <v>135</v>
      </c>
      <c r="O139" s="108" t="s">
        <v>136</v>
      </c>
    </row>
    <row r="140" spans="1:17" hidden="1" x14ac:dyDescent="0.2">
      <c r="E140" s="82" t="s">
        <v>203</v>
      </c>
      <c r="F140" s="93">
        <f>0.254*D139*100/1000</f>
        <v>0</v>
      </c>
      <c r="K140" s="109" t="str">
        <f>CONCATENATE("X",$F$17)</f>
        <v>X2</v>
      </c>
      <c r="L140" s="28">
        <f>$L$22</f>
        <v>300</v>
      </c>
      <c r="M140" s="110">
        <f>$M$22</f>
        <v>5</v>
      </c>
      <c r="N140" s="109">
        <f>$N$22</f>
        <v>18</v>
      </c>
      <c r="O140" s="92">
        <f>$O$22</f>
        <v>5.0000000000000001E-3</v>
      </c>
    </row>
    <row r="141" spans="1:17" hidden="1" x14ac:dyDescent="0.2"/>
    <row r="142" spans="1:17" hidden="1" x14ac:dyDescent="0.2">
      <c r="A142" s="111" t="s">
        <v>204</v>
      </c>
      <c r="B142" s="110">
        <v>1</v>
      </c>
      <c r="C142" s="92">
        <v>2</v>
      </c>
      <c r="D142" s="92">
        <v>3</v>
      </c>
      <c r="E142" s="92">
        <v>4</v>
      </c>
      <c r="F142" s="92">
        <v>5</v>
      </c>
      <c r="G142" s="92">
        <v>6</v>
      </c>
      <c r="H142" s="92">
        <v>7</v>
      </c>
      <c r="I142" s="92">
        <v>8</v>
      </c>
      <c r="J142" s="92">
        <v>9</v>
      </c>
      <c r="K142" s="92">
        <v>10</v>
      </c>
      <c r="L142" s="92">
        <v>11</v>
      </c>
      <c r="M142" s="92">
        <v>12</v>
      </c>
      <c r="N142" s="92">
        <v>13</v>
      </c>
      <c r="O142" s="92">
        <v>14</v>
      </c>
      <c r="P142" s="92">
        <v>15</v>
      </c>
    </row>
    <row r="143" spans="1:17" hidden="1" x14ac:dyDescent="0.2">
      <c r="A143" s="113" t="s">
        <v>143</v>
      </c>
      <c r="B143" s="114"/>
      <c r="C143" s="114"/>
      <c r="D143" s="114"/>
      <c r="E143" s="114"/>
      <c r="F143" s="114"/>
      <c r="G143" s="114"/>
      <c r="H143" s="114"/>
      <c r="I143" s="114"/>
      <c r="J143" s="114"/>
      <c r="K143" s="114"/>
      <c r="L143" s="114"/>
      <c r="M143" s="114"/>
      <c r="N143" s="114"/>
      <c r="O143" s="114"/>
      <c r="P143" s="115">
        <f>N12</f>
        <v>0</v>
      </c>
    </row>
    <row r="144" spans="1:17" hidden="1" x14ac:dyDescent="0.2">
      <c r="A144" s="93" t="s">
        <v>205</v>
      </c>
      <c r="B144" s="92">
        <v>4.3</v>
      </c>
      <c r="C144" s="92">
        <v>5.5</v>
      </c>
      <c r="D144" s="92">
        <v>6.4</v>
      </c>
      <c r="E144" s="92">
        <v>3</v>
      </c>
      <c r="F144" s="92">
        <v>1.4</v>
      </c>
      <c r="G144" s="92">
        <v>67</v>
      </c>
      <c r="H144" s="92">
        <v>34</v>
      </c>
      <c r="I144" s="92">
        <v>4.3</v>
      </c>
      <c r="J144" s="92">
        <v>13</v>
      </c>
      <c r="K144" s="92">
        <v>13</v>
      </c>
      <c r="L144" s="92">
        <v>52</v>
      </c>
      <c r="M144" s="92">
        <v>16</v>
      </c>
      <c r="N144" s="92">
        <v>25</v>
      </c>
      <c r="O144" s="92">
        <v>6</v>
      </c>
      <c r="P144" s="92">
        <v>1</v>
      </c>
    </row>
    <row r="145" spans="1:16" hidden="1" x14ac:dyDescent="0.2">
      <c r="A145" s="93" t="s">
        <v>206</v>
      </c>
      <c r="B145" s="92">
        <v>3.4</v>
      </c>
      <c r="C145" s="92">
        <v>4.3</v>
      </c>
      <c r="D145" s="92">
        <v>4.9000000000000004</v>
      </c>
      <c r="E145" s="92">
        <v>2.2999999999999998</v>
      </c>
      <c r="F145" s="92">
        <v>1.1000000000000001</v>
      </c>
      <c r="G145" s="92">
        <v>51</v>
      </c>
      <c r="H145" s="92">
        <v>26</v>
      </c>
      <c r="I145" s="92">
        <v>3.4</v>
      </c>
      <c r="J145" s="92">
        <v>10</v>
      </c>
      <c r="K145" s="92">
        <v>10</v>
      </c>
      <c r="L145" s="92">
        <v>39</v>
      </c>
      <c r="M145" s="92">
        <v>12.5</v>
      </c>
      <c r="N145" s="92">
        <v>19.3</v>
      </c>
      <c r="O145" s="92">
        <v>5</v>
      </c>
      <c r="P145" s="92">
        <v>1</v>
      </c>
    </row>
    <row r="146" spans="1:16" hidden="1" x14ac:dyDescent="0.2">
      <c r="A146" s="93" t="s">
        <v>207</v>
      </c>
      <c r="B146" s="92">
        <v>2.1</v>
      </c>
      <c r="C146" s="92">
        <v>2.8</v>
      </c>
      <c r="D146" s="92">
        <v>3.4</v>
      </c>
      <c r="E146" s="92">
        <v>1.5</v>
      </c>
      <c r="F146" s="92">
        <v>0.7</v>
      </c>
      <c r="G146" s="92">
        <v>34</v>
      </c>
      <c r="H146" s="92">
        <v>17</v>
      </c>
      <c r="I146" s="92">
        <v>2.1</v>
      </c>
      <c r="J146" s="92">
        <v>6.7</v>
      </c>
      <c r="K146" s="92">
        <v>6.7</v>
      </c>
      <c r="L146" s="92">
        <v>23</v>
      </c>
      <c r="M146" s="92">
        <v>8.4</v>
      </c>
      <c r="N146" s="92">
        <v>12.9</v>
      </c>
      <c r="O146" s="92">
        <v>3.2</v>
      </c>
      <c r="P146" s="92">
        <v>1</v>
      </c>
    </row>
    <row r="147" spans="1:16" hidden="1" x14ac:dyDescent="0.2">
      <c r="A147" s="93" t="s">
        <v>208</v>
      </c>
      <c r="B147" s="92">
        <v>1.6</v>
      </c>
      <c r="C147" s="92">
        <v>2.1</v>
      </c>
      <c r="D147" s="92">
        <v>2.5</v>
      </c>
      <c r="E147" s="92">
        <v>1.2</v>
      </c>
      <c r="F147" s="92">
        <v>0.5</v>
      </c>
      <c r="G147" s="92">
        <v>26</v>
      </c>
      <c r="H147" s="92">
        <v>13</v>
      </c>
      <c r="I147" s="92">
        <v>1.6</v>
      </c>
      <c r="J147" s="92">
        <v>5.2</v>
      </c>
      <c r="K147" s="92">
        <v>5.2</v>
      </c>
      <c r="L147" s="92">
        <v>20</v>
      </c>
      <c r="M147" s="92">
        <v>6.3</v>
      </c>
      <c r="N147" s="92">
        <v>9.6999999999999993</v>
      </c>
      <c r="O147" s="92">
        <v>2.2000000000000002</v>
      </c>
      <c r="P147" s="92">
        <v>1</v>
      </c>
    </row>
    <row r="148" spans="1:16" hidden="1" x14ac:dyDescent="0.2">
      <c r="A148" s="93" t="s">
        <v>209</v>
      </c>
      <c r="B148" s="92">
        <v>1.3</v>
      </c>
      <c r="C148" s="92">
        <v>1.7</v>
      </c>
      <c r="D148" s="92">
        <v>2</v>
      </c>
      <c r="E148" s="92">
        <v>0.9</v>
      </c>
      <c r="F148" s="92">
        <v>0.4</v>
      </c>
      <c r="G148" s="92">
        <v>21</v>
      </c>
      <c r="H148" s="92">
        <v>10</v>
      </c>
      <c r="I148" s="92">
        <v>1.3</v>
      </c>
      <c r="J148" s="92">
        <v>4.3</v>
      </c>
      <c r="K148" s="92">
        <v>4.3</v>
      </c>
      <c r="L148" s="92">
        <v>17</v>
      </c>
      <c r="M148" s="92">
        <v>5.2</v>
      </c>
      <c r="N148" s="92">
        <v>8.1</v>
      </c>
      <c r="O148" s="92">
        <v>1.9</v>
      </c>
      <c r="P148" s="92">
        <v>1</v>
      </c>
    </row>
    <row r="149" spans="1:16" hidden="1" x14ac:dyDescent="0.2">
      <c r="A149" s="93" t="s">
        <v>211</v>
      </c>
      <c r="B149" s="92" t="str">
        <f t="shared" ref="B149:P149" si="4">IF(OR($D139=8,$D139=6,$D139=4,$D139=3,$D139=2.5),IF($D139=8,B144*B143,IF($D139=6,B145*B143,IF($D139=4,B146*B143,IF($D139=3,B147*B143,B148*B143)))),"")</f>
        <v/>
      </c>
      <c r="C149" s="92" t="str">
        <f t="shared" si="4"/>
        <v/>
      </c>
      <c r="D149" s="92" t="str">
        <f t="shared" si="4"/>
        <v/>
      </c>
      <c r="E149" s="92" t="str">
        <f t="shared" si="4"/>
        <v/>
      </c>
      <c r="F149" s="92" t="str">
        <f t="shared" si="4"/>
        <v/>
      </c>
      <c r="G149" s="92" t="str">
        <f t="shared" si="4"/>
        <v/>
      </c>
      <c r="H149" s="92" t="str">
        <f t="shared" si="4"/>
        <v/>
      </c>
      <c r="I149" s="92" t="str">
        <f t="shared" si="4"/>
        <v/>
      </c>
      <c r="J149" s="92" t="str">
        <f t="shared" si="4"/>
        <v/>
      </c>
      <c r="K149" s="92" t="str">
        <f t="shared" si="4"/>
        <v/>
      </c>
      <c r="L149" s="92" t="str">
        <f t="shared" si="4"/>
        <v/>
      </c>
      <c r="M149" s="92" t="str">
        <f t="shared" si="4"/>
        <v/>
      </c>
      <c r="N149" s="92" t="str">
        <f t="shared" si="4"/>
        <v/>
      </c>
      <c r="O149" s="92" t="str">
        <f t="shared" si="4"/>
        <v/>
      </c>
      <c r="P149" s="92" t="str">
        <f t="shared" si="4"/>
        <v/>
      </c>
    </row>
    <row r="150" spans="1:16" hidden="1" x14ac:dyDescent="0.2"/>
    <row r="151" spans="1:16" hidden="1" x14ac:dyDescent="0.2">
      <c r="A151" s="76" t="s">
        <v>212</v>
      </c>
      <c r="F151" s="90">
        <f>SUM(B149:O149)</f>
        <v>0</v>
      </c>
      <c r="I151" s="117" t="s">
        <v>213</v>
      </c>
      <c r="N151" s="117" t="s">
        <v>226</v>
      </c>
    </row>
    <row r="152" spans="1:16" hidden="1" x14ac:dyDescent="0.2">
      <c r="A152" s="76" t="s">
        <v>215</v>
      </c>
      <c r="F152" s="90" t="str">
        <f>P149</f>
        <v/>
      </c>
      <c r="I152" s="76" t="s">
        <v>216</v>
      </c>
      <c r="N152" s="118" t="s">
        <v>227</v>
      </c>
    </row>
    <row r="153" spans="1:16" hidden="1" x14ac:dyDescent="0.2">
      <c r="A153" s="76" t="s">
        <v>218</v>
      </c>
      <c r="F153" s="76" t="e">
        <f>F152+F151</f>
        <v>#VALUE!</v>
      </c>
      <c r="I153" s="118" t="s">
        <v>219</v>
      </c>
    </row>
    <row r="154" spans="1:16" s="80" customFormat="1" hidden="1" x14ac:dyDescent="0.2">
      <c r="A154" s="76" t="s">
        <v>220</v>
      </c>
      <c r="B154" s="76"/>
      <c r="C154" s="76"/>
      <c r="D154" s="76"/>
      <c r="E154" s="76"/>
      <c r="F154" s="119" t="e">
        <f>(10.643*O140^1.85)/($G$27^1.85*F140^4.87)</f>
        <v>#DIV/0!</v>
      </c>
      <c r="I154" s="118" t="s">
        <v>221</v>
      </c>
      <c r="N154" s="76"/>
    </row>
    <row r="155" spans="1:16" s="80" customFormat="1" hidden="1" x14ac:dyDescent="0.2">
      <c r="A155" s="76" t="s">
        <v>228</v>
      </c>
      <c r="F155" s="90">
        <f>IF(D139=0,0,F154*F153)</f>
        <v>0</v>
      </c>
      <c r="I155" s="118" t="s">
        <v>229</v>
      </c>
      <c r="N155" s="76"/>
    </row>
    <row r="156" spans="1:16" hidden="1" x14ac:dyDescent="0.2"/>
    <row r="157" spans="1:16" s="104" customFormat="1" ht="13.5" thickBot="1" x14ac:dyDescent="0.25">
      <c r="A157" s="104" t="s">
        <v>234</v>
      </c>
      <c r="B157" s="80"/>
      <c r="C157" s="80"/>
      <c r="D157" s="80"/>
      <c r="E157" s="80"/>
      <c r="F157" s="80"/>
      <c r="G157" s="39">
        <f>F155+F136+F116+F96</f>
        <v>4.7975767566717602</v>
      </c>
      <c r="H157" s="125" t="s">
        <v>235</v>
      </c>
    </row>
    <row r="158" spans="1:16" ht="13.5" thickBot="1" x14ac:dyDescent="0.25">
      <c r="I158" s="126"/>
    </row>
    <row r="159" spans="1:16" x14ac:dyDescent="0.2">
      <c r="A159" s="104" t="s">
        <v>236</v>
      </c>
      <c r="D159" s="88" t="s">
        <v>237</v>
      </c>
      <c r="E159" s="127">
        <f>IF(C16=1,80,IF(C16=2,30,IF(C16=3,40,IF(C16=4,IF(F16=40,65,30),60))))</f>
        <v>30</v>
      </c>
      <c r="I159" s="126"/>
    </row>
    <row r="160" spans="1:16" x14ac:dyDescent="0.2">
      <c r="I160" s="126"/>
    </row>
    <row r="161" spans="1:18" x14ac:dyDescent="0.2">
      <c r="I161" s="126"/>
    </row>
    <row r="162" spans="1:18" x14ac:dyDescent="0.2">
      <c r="I162" s="126"/>
    </row>
    <row r="163" spans="1:18" x14ac:dyDescent="0.2">
      <c r="I163" s="126"/>
    </row>
    <row r="164" spans="1:18" x14ac:dyDescent="0.2">
      <c r="A164" s="104" t="s">
        <v>238</v>
      </c>
      <c r="I164" s="104" t="s">
        <v>239</v>
      </c>
      <c r="J164" s="87"/>
      <c r="K164" s="87"/>
      <c r="L164" s="87"/>
      <c r="M164" s="87"/>
    </row>
    <row r="165" spans="1:18" x14ac:dyDescent="0.2">
      <c r="A165" s="76" t="s">
        <v>240</v>
      </c>
      <c r="E165" s="128">
        <f>B22</f>
        <v>1.5</v>
      </c>
      <c r="F165" s="129">
        <f>(10.643*O21^1.85)/(B166^1.85*(B22*2.54/100)^4.87)</f>
        <v>0.14249892256333122</v>
      </c>
      <c r="G165" s="130"/>
      <c r="I165" s="117" t="s">
        <v>241</v>
      </c>
      <c r="J165" s="87"/>
      <c r="K165" s="87"/>
      <c r="L165" s="87"/>
      <c r="M165" s="131"/>
      <c r="N165" s="92" t="s">
        <v>231</v>
      </c>
      <c r="O165" s="108" t="s">
        <v>133</v>
      </c>
      <c r="P165" s="92" t="s">
        <v>134</v>
      </c>
      <c r="Q165" s="92" t="s">
        <v>135</v>
      </c>
      <c r="R165" s="108" t="s">
        <v>136</v>
      </c>
    </row>
    <row r="166" spans="1:18" x14ac:dyDescent="0.2">
      <c r="A166" s="76" t="s">
        <v>242</v>
      </c>
      <c r="B166" s="132">
        <v>140</v>
      </c>
      <c r="E166" s="128">
        <f>B24</f>
        <v>2.5</v>
      </c>
      <c r="F166" s="129">
        <f>(10.643*O21^1.85)/(B166^1.85*(B24*2.54/100)^4.87)</f>
        <v>1.1841539554939202E-2</v>
      </c>
      <c r="G166" s="130"/>
      <c r="H166" s="76">
        <v>43.03</v>
      </c>
      <c r="I166" s="42" t="s">
        <v>243</v>
      </c>
      <c r="J166" s="39">
        <f>F75+G157+E159+IF(I6&lt;&gt;0,-I6,I7)</f>
        <v>42.931446509306589</v>
      </c>
      <c r="K166" s="125" t="s">
        <v>244</v>
      </c>
      <c r="L166" s="87"/>
      <c r="M166" s="87"/>
      <c r="N166" s="109" t="str">
        <f>CONCATENATE("X",$F$17)</f>
        <v>X2</v>
      </c>
      <c r="O166" s="28">
        <f>$L$22</f>
        <v>300</v>
      </c>
      <c r="P166" s="110">
        <f>$M$22</f>
        <v>5</v>
      </c>
      <c r="Q166" s="109">
        <f>$N$22</f>
        <v>18</v>
      </c>
      <c r="R166" s="92">
        <f>$O$22</f>
        <v>5.0000000000000001E-3</v>
      </c>
    </row>
    <row r="167" spans="1:18" x14ac:dyDescent="0.2">
      <c r="F167" s="88"/>
      <c r="I167" s="42"/>
      <c r="J167" s="87"/>
      <c r="K167" s="87"/>
      <c r="L167" s="99"/>
      <c r="M167" s="87"/>
    </row>
    <row r="168" spans="1:18" x14ac:dyDescent="0.2">
      <c r="A168" s="104" t="s">
        <v>245</v>
      </c>
      <c r="F168" s="88" t="s">
        <v>246</v>
      </c>
      <c r="G168" s="76">
        <v>40</v>
      </c>
      <c r="I168" s="117"/>
      <c r="J168" s="97"/>
      <c r="K168" s="97"/>
      <c r="L168" s="87"/>
      <c r="M168" s="87"/>
    </row>
    <row r="169" spans="1:18" x14ac:dyDescent="0.2">
      <c r="A169" s="118" t="s">
        <v>247</v>
      </c>
      <c r="E169" s="128">
        <f>E165</f>
        <v>1.5</v>
      </c>
      <c r="F169" s="129">
        <f>F165*(B23*D23)</f>
        <v>8.5499353537998726</v>
      </c>
      <c r="G169" s="127">
        <f>F169+F170</f>
        <v>8.9051815404480479</v>
      </c>
      <c r="H169" s="125" t="s">
        <v>248</v>
      </c>
      <c r="I169" s="42"/>
      <c r="J169" s="97"/>
      <c r="K169" s="97"/>
      <c r="L169" s="87"/>
      <c r="M169" s="87"/>
    </row>
    <row r="170" spans="1:18" x14ac:dyDescent="0.2">
      <c r="A170" s="104"/>
      <c r="E170" s="128">
        <f>E166</f>
        <v>2.5</v>
      </c>
      <c r="F170" s="129">
        <f>F166*(B25*D25)</f>
        <v>0.35524618664817609</v>
      </c>
    </row>
    <row r="171" spans="1:18" x14ac:dyDescent="0.2">
      <c r="A171" s="104" t="s">
        <v>249</v>
      </c>
      <c r="I171" s="104" t="s">
        <v>250</v>
      </c>
    </row>
    <row r="172" spans="1:18" ht="13.5" thickBot="1" x14ac:dyDescent="0.25">
      <c r="A172" s="118" t="s">
        <v>251</v>
      </c>
      <c r="G172" s="39" t="e">
        <f>$I$16^2/$B$27^2/10</f>
        <v>#VALUE!</v>
      </c>
      <c r="H172" s="125" t="s">
        <v>252</v>
      </c>
      <c r="I172" s="118" t="s">
        <v>253</v>
      </c>
    </row>
    <row r="173" spans="1:18" ht="13.5" thickBot="1" x14ac:dyDescent="0.25">
      <c r="A173" s="118" t="s">
        <v>254</v>
      </c>
      <c r="I173" s="118" t="s">
        <v>255</v>
      </c>
      <c r="J173" s="133">
        <v>50</v>
      </c>
    </row>
    <row r="174" spans="1:18" ht="13.5" thickBot="1" x14ac:dyDescent="0.25">
      <c r="A174" s="118" t="s">
        <v>256</v>
      </c>
      <c r="I174" s="118" t="s">
        <v>257</v>
      </c>
      <c r="J174" s="134">
        <f>1000*J166*O22/(75*J173/100)</f>
        <v>5.7241928679075453</v>
      </c>
    </row>
    <row r="175" spans="1:18" x14ac:dyDescent="0.2">
      <c r="A175" s="118" t="s">
        <v>258</v>
      </c>
    </row>
    <row r="176" spans="1:18" x14ac:dyDescent="0.2">
      <c r="A176" s="104"/>
    </row>
    <row r="177" spans="1:21" ht="13.5" thickBot="1" x14ac:dyDescent="0.25">
      <c r="A177" s="104" t="s">
        <v>259</v>
      </c>
      <c r="I177" s="104" t="s">
        <v>260</v>
      </c>
    </row>
    <row r="178" spans="1:21" ht="13.5" thickBot="1" x14ac:dyDescent="0.25">
      <c r="A178" s="118" t="s">
        <v>261</v>
      </c>
      <c r="G178" s="135">
        <f>B179*D180*D180/(2*9.8)</f>
        <v>2.019315681647357E-2</v>
      </c>
      <c r="H178" s="125" t="s">
        <v>262</v>
      </c>
      <c r="I178" s="76" t="s">
        <v>263</v>
      </c>
      <c r="J178" s="81">
        <v>7.5</v>
      </c>
      <c r="M178" s="76" t="s">
        <v>757</v>
      </c>
      <c r="R178" s="81">
        <v>7.5</v>
      </c>
      <c r="S178" s="76" t="s">
        <v>755</v>
      </c>
    </row>
    <row r="179" spans="1:21" ht="13.5" thickBot="1" x14ac:dyDescent="0.25">
      <c r="A179" s="118" t="s">
        <v>264</v>
      </c>
      <c r="B179" s="136">
        <v>0.1</v>
      </c>
      <c r="I179" s="102" t="s">
        <v>265</v>
      </c>
      <c r="J179">
        <v>168</v>
      </c>
      <c r="K179" s="76" t="s">
        <v>142</v>
      </c>
      <c r="L179" s="476" t="s">
        <v>744</v>
      </c>
      <c r="M179" s="76">
        <v>54</v>
      </c>
      <c r="R179">
        <v>184</v>
      </c>
      <c r="S179" s="76">
        <v>63</v>
      </c>
    </row>
    <row r="180" spans="1:21" ht="13.5" thickBot="1" x14ac:dyDescent="0.25">
      <c r="A180" s="118" t="s">
        <v>266</v>
      </c>
      <c r="D180" s="137">
        <f>O21/(PI()*(B26/1000)^2/4)</f>
        <v>1.9894367886486919</v>
      </c>
      <c r="L180" s="476" t="s">
        <v>301</v>
      </c>
      <c r="M180" s="156">
        <v>3</v>
      </c>
      <c r="S180" s="156">
        <v>6.7</v>
      </c>
      <c r="U180" s="76" t="s">
        <v>756</v>
      </c>
    </row>
    <row r="181" spans="1:21" ht="13.5" thickBot="1" x14ac:dyDescent="0.25">
      <c r="A181" s="118" t="s">
        <v>267</v>
      </c>
      <c r="I181" s="104" t="s">
        <v>268</v>
      </c>
    </row>
    <row r="182" spans="1:21" ht="13.5" thickBot="1" x14ac:dyDescent="0.25">
      <c r="I182" s="76" t="s">
        <v>263</v>
      </c>
      <c r="J182" s="81">
        <v>2</v>
      </c>
      <c r="M182" s="76" t="s">
        <v>758</v>
      </c>
      <c r="R182" s="81">
        <v>2</v>
      </c>
      <c r="S182" s="76" t="s">
        <v>754</v>
      </c>
    </row>
    <row r="183" spans="1:21" ht="13.5" thickBot="1" x14ac:dyDescent="0.25">
      <c r="I183" s="102" t="s">
        <v>265</v>
      </c>
      <c r="J183" s="102">
        <v>150</v>
      </c>
      <c r="K183" s="76" t="s">
        <v>142</v>
      </c>
      <c r="L183" s="476" t="s">
        <v>744</v>
      </c>
      <c r="M183" s="76">
        <v>88</v>
      </c>
      <c r="R183" s="102">
        <v>157</v>
      </c>
    </row>
    <row r="184" spans="1:21" ht="13.5" thickBot="1" x14ac:dyDescent="0.25">
      <c r="L184" s="476" t="s">
        <v>301</v>
      </c>
      <c r="M184" s="156"/>
      <c r="P184" s="138"/>
    </row>
  </sheetData>
  <sheetProtection selectLockedCells="1" selectUnlockedCells="1"/>
  <mergeCells count="7">
    <mergeCell ref="C4:D4"/>
    <mergeCell ref="A20:D20"/>
    <mergeCell ref="F20:I20"/>
    <mergeCell ref="A21:B21"/>
    <mergeCell ref="C21:D21"/>
    <mergeCell ref="F21:G21"/>
    <mergeCell ref="H21:I21"/>
  </mergeCells>
  <conditionalFormatting sqref="C48">
    <cfRule type="cellIs" dxfId="18" priority="1" stopIfTrue="1" operator="greaterThanOrEqual">
      <formula>4</formula>
    </cfRule>
    <cfRule type="cellIs" dxfId="17" priority="2" stopIfTrue="1" operator="lessThan">
      <formula>4</formula>
    </cfRule>
  </conditionalFormatting>
  <conditionalFormatting sqref="C51:C55">
    <cfRule type="cellIs" dxfId="16" priority="3" stopIfTrue="1" operator="greaterThanOrEqual">
      <formula>5</formula>
    </cfRule>
    <cfRule type="cellIs" dxfId="15" priority="4" stopIfTrue="1" operator="lessThan">
      <formula>5</formula>
    </cfRule>
  </conditionalFormatting>
  <conditionalFormatting sqref="D48">
    <cfRule type="expression" dxfId="14" priority="5" stopIfTrue="1">
      <formula>C48&gt;=4</formula>
    </cfRule>
    <cfRule type="expression" dxfId="13" priority="6" stopIfTrue="1">
      <formula>C48&lt;4</formula>
    </cfRule>
  </conditionalFormatting>
  <conditionalFormatting sqref="D51:D55">
    <cfRule type="expression" dxfId="12" priority="7" stopIfTrue="1">
      <formula>C51&gt;=5</formula>
    </cfRule>
    <cfRule type="expression" dxfId="11" priority="8" stopIfTrue="1">
      <formula>C51&lt;5</formula>
    </cfRule>
  </conditionalFormatting>
  <conditionalFormatting sqref="F15">
    <cfRule type="expression" dxfId="10" priority="9" stopIfTrue="1">
      <formula>OR(C16=2,C16=3)</formula>
    </cfRule>
  </conditionalFormatting>
  <conditionalFormatting sqref="F165:F166 F169:F170 G172 G178">
    <cfRule type="cellIs" dxfId="9" priority="10" stopIfTrue="1" operator="equal">
      <formula>0</formula>
    </cfRule>
  </conditionalFormatting>
  <conditionalFormatting sqref="O17">
    <cfRule type="expression" dxfId="8" priority="11" stopIfTrue="1">
      <formula>OR(C16=2,C16=3)</formula>
    </cfRule>
  </conditionalFormatting>
  <conditionalFormatting sqref="P17">
    <cfRule type="expression" dxfId="7" priority="12" stopIfTrue="1">
      <formula>OR(C16=2,C16=3)</formula>
    </cfRule>
  </conditionalFormatting>
  <conditionalFormatting sqref="E15">
    <cfRule type="expression" dxfId="6" priority="13" stopIfTrue="1">
      <formula>OR(C16=1,C16=2,C16=3,C16=5)</formula>
    </cfRule>
  </conditionalFormatting>
  <conditionalFormatting sqref="F16">
    <cfRule type="expression" dxfId="5" priority="14" stopIfTrue="1">
      <formula>OR(C16=1,C16=2,C16=3,C16=5)</formula>
    </cfRule>
  </conditionalFormatting>
  <conditionalFormatting sqref="E16">
    <cfRule type="expression" dxfId="4" priority="15" stopIfTrue="1">
      <formula>C16&lt;&gt;4</formula>
    </cfRule>
  </conditionalFormatting>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48"/>
  <sheetViews>
    <sheetView zoomScale="175" zoomScaleNormal="175" workbookViewId="0">
      <selection activeCell="H23" sqref="H23"/>
    </sheetView>
  </sheetViews>
  <sheetFormatPr defaultRowHeight="12.75" x14ac:dyDescent="0.2"/>
  <cols>
    <col min="1" max="9" width="3.5703125" customWidth="1"/>
    <col min="10" max="10" width="5.140625" customWidth="1"/>
    <col min="11" max="11" width="3.42578125" customWidth="1"/>
    <col min="12" max="12" width="4.140625" customWidth="1"/>
    <col min="13" max="13" width="2.5703125" customWidth="1"/>
    <col min="14" max="14" width="2.42578125" customWidth="1"/>
    <col min="15" max="15" width="4.7109375" customWidth="1"/>
    <col min="16" max="16" width="3.5703125" customWidth="1"/>
    <col min="17" max="17" width="3.28515625" customWidth="1"/>
    <col min="18" max="18" width="8.42578125" customWidth="1"/>
    <col min="19" max="19" width="6.85546875" customWidth="1"/>
    <col min="20" max="20" width="3.7109375" customWidth="1"/>
    <col min="21" max="21" width="5.28515625" customWidth="1"/>
    <col min="22" max="22" width="5" customWidth="1"/>
    <col min="23" max="23" width="4.42578125" customWidth="1"/>
    <col min="24" max="24" width="6" customWidth="1"/>
    <col min="25" max="25" width="5" customWidth="1"/>
  </cols>
  <sheetData>
    <row r="1" spans="1:105" x14ac:dyDescent="0.2">
      <c r="A1" s="599" t="s">
        <v>791</v>
      </c>
      <c r="B1" s="408"/>
      <c r="C1" s="408"/>
      <c r="D1" s="408"/>
      <c r="E1" s="408"/>
      <c r="F1" s="408"/>
      <c r="G1" s="408"/>
      <c r="H1" s="408"/>
      <c r="I1" s="408"/>
      <c r="J1" s="408"/>
      <c r="K1" s="408"/>
      <c r="L1" s="408"/>
      <c r="M1" s="408"/>
      <c r="N1" s="408"/>
      <c r="O1" s="408"/>
      <c r="P1" s="408"/>
      <c r="Q1" s="408"/>
      <c r="R1" s="408"/>
      <c r="S1" s="408"/>
      <c r="T1" s="408"/>
      <c r="U1" s="408"/>
      <c r="V1" s="408"/>
      <c r="W1" s="408"/>
      <c r="X1" s="520"/>
    </row>
    <row r="2" spans="1:105" x14ac:dyDescent="0.2">
      <c r="A2" s="600"/>
      <c r="B2" s="2"/>
      <c r="C2" s="2"/>
      <c r="D2" s="2"/>
      <c r="E2" s="2"/>
      <c r="F2" s="2"/>
      <c r="G2" s="2"/>
      <c r="H2" s="2"/>
      <c r="I2" s="1088" t="s">
        <v>844</v>
      </c>
      <c r="J2" s="1088"/>
      <c r="K2" s="1088"/>
      <c r="L2" s="1088"/>
      <c r="M2" s="1088"/>
      <c r="N2" s="1088"/>
      <c r="O2" s="1088"/>
      <c r="P2" s="1088"/>
      <c r="Q2" s="1088"/>
      <c r="R2" s="1088"/>
      <c r="S2" s="2"/>
      <c r="T2" s="2"/>
      <c r="U2" s="2"/>
      <c r="V2" s="2"/>
      <c r="W2" s="2"/>
      <c r="X2" s="521"/>
    </row>
    <row r="3" spans="1:105" x14ac:dyDescent="0.2">
      <c r="A3" s="674"/>
      <c r="B3" s="675"/>
      <c r="C3" s="675"/>
      <c r="D3" s="675"/>
      <c r="E3" s="675"/>
      <c r="F3" s="675"/>
      <c r="G3" s="675"/>
      <c r="H3" s="675"/>
      <c r="I3" s="675"/>
      <c r="J3" s="677"/>
      <c r="K3" s="677"/>
      <c r="L3" s="677"/>
      <c r="M3" s="677"/>
      <c r="N3" s="677"/>
      <c r="O3" s="677"/>
      <c r="P3" s="677"/>
      <c r="Q3" s="677"/>
      <c r="R3" s="677"/>
      <c r="S3" s="675"/>
      <c r="T3" s="675"/>
      <c r="U3" s="675"/>
      <c r="V3" s="675"/>
      <c r="W3" s="675"/>
      <c r="X3" s="676"/>
    </row>
    <row r="4" spans="1:105" ht="13.5" thickBot="1" x14ac:dyDescent="0.25">
      <c r="A4" s="678"/>
      <c r="B4" s="677"/>
      <c r="C4" s="677"/>
      <c r="D4" s="677"/>
      <c r="E4" s="677"/>
      <c r="F4" s="677"/>
      <c r="G4" s="677"/>
      <c r="H4" s="677"/>
      <c r="I4" s="677"/>
      <c r="J4" s="677"/>
      <c r="K4" s="677"/>
      <c r="L4" s="677"/>
      <c r="M4" s="677"/>
      <c r="N4" s="677"/>
      <c r="O4" s="677"/>
      <c r="P4" s="677"/>
      <c r="Q4" s="677"/>
      <c r="R4" s="677"/>
      <c r="S4" s="677"/>
      <c r="T4" s="677"/>
      <c r="U4" s="677"/>
      <c r="V4" s="677"/>
      <c r="W4" s="677"/>
      <c r="X4" s="679"/>
    </row>
    <row r="5" spans="1:105" ht="29.25" customHeight="1" thickBot="1" x14ac:dyDescent="0.25">
      <c r="A5" s="1077" t="s">
        <v>1</v>
      </c>
      <c r="B5" s="1078"/>
      <c r="C5" s="1078"/>
      <c r="D5" s="1078"/>
      <c r="E5" s="1078"/>
      <c r="F5" s="1079"/>
      <c r="G5" s="1080" t="s">
        <v>820</v>
      </c>
      <c r="H5" s="1080"/>
      <c r="I5" s="1080"/>
      <c r="J5" s="1080"/>
      <c r="K5" s="1080"/>
      <c r="L5" s="1080"/>
      <c r="M5" s="1080"/>
      <c r="N5" s="1080"/>
      <c r="O5" s="1080"/>
      <c r="P5" s="1080"/>
      <c r="Q5" s="1080"/>
      <c r="R5" s="1080"/>
      <c r="S5" s="1081"/>
      <c r="T5" s="1082" t="s">
        <v>729</v>
      </c>
      <c r="U5" s="1083"/>
      <c r="V5" s="1083"/>
      <c r="W5" s="1083"/>
      <c r="X5" s="1084"/>
      <c r="Y5" s="2"/>
    </row>
    <row r="6" spans="1:105" ht="12.6" customHeight="1" thickBot="1" x14ac:dyDescent="0.25">
      <c r="A6" s="1085" t="s">
        <v>2</v>
      </c>
      <c r="B6" s="1086"/>
      <c r="C6" s="1086"/>
      <c r="D6" s="1086"/>
      <c r="E6" s="1086"/>
      <c r="F6" s="1086"/>
      <c r="G6" s="1086"/>
      <c r="H6" s="1086"/>
      <c r="I6" s="1086"/>
      <c r="J6" s="1086"/>
      <c r="K6" s="1086"/>
      <c r="L6" s="1086"/>
      <c r="M6" s="1086"/>
      <c r="N6" s="1086"/>
      <c r="O6" s="1086"/>
      <c r="P6" s="1086"/>
      <c r="Q6" s="1086"/>
      <c r="R6" s="1086"/>
      <c r="S6" s="1086"/>
      <c r="T6" s="1086"/>
      <c r="U6" s="1086"/>
      <c r="V6" s="1086"/>
      <c r="W6" s="1086"/>
      <c r="X6" s="1087"/>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row>
    <row r="7" spans="1:105" ht="12.6" customHeight="1" x14ac:dyDescent="0.2">
      <c r="A7" s="1089" t="s">
        <v>3</v>
      </c>
      <c r="B7" s="1090"/>
      <c r="C7" s="1090"/>
      <c r="D7" s="1090"/>
      <c r="E7" s="1090"/>
      <c r="F7" s="1039"/>
      <c r="G7" s="1039"/>
      <c r="H7" s="1039"/>
      <c r="I7" s="1039"/>
      <c r="J7" s="1039"/>
      <c r="K7" s="1039"/>
      <c r="L7" s="1039"/>
      <c r="M7" s="1039"/>
      <c r="N7" s="1039"/>
      <c r="O7" s="1039"/>
      <c r="P7" s="1039"/>
      <c r="Q7" s="1039"/>
      <c r="R7" s="1039"/>
      <c r="S7" s="1039"/>
      <c r="T7" s="1039"/>
      <c r="U7" s="1039"/>
      <c r="V7" s="1039"/>
      <c r="W7" s="1039"/>
      <c r="X7" s="1091"/>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row>
    <row r="8" spans="1:105" ht="12.6" customHeight="1" x14ac:dyDescent="0.2">
      <c r="A8" s="1071" t="s">
        <v>19</v>
      </c>
      <c r="B8" s="1072"/>
      <c r="C8" s="1072"/>
      <c r="D8" s="1072"/>
      <c r="E8" s="651"/>
      <c r="F8" s="325"/>
      <c r="G8" s="325"/>
      <c r="H8" s="325"/>
      <c r="I8" s="325"/>
      <c r="J8" s="325"/>
      <c r="K8" s="325"/>
      <c r="L8" s="325"/>
      <c r="M8" s="325"/>
      <c r="N8" s="325"/>
      <c r="O8" s="325"/>
      <c r="P8" s="325"/>
      <c r="Q8" s="6"/>
      <c r="R8" s="6" t="s">
        <v>6</v>
      </c>
      <c r="S8" s="5"/>
      <c r="T8" s="651"/>
      <c r="U8" s="2"/>
      <c r="V8" s="2"/>
      <c r="W8" s="5"/>
      <c r="X8" s="681"/>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row>
    <row r="9" spans="1:105" ht="12.6" customHeight="1" x14ac:dyDescent="0.2">
      <c r="A9" s="680" t="s">
        <v>20</v>
      </c>
      <c r="B9" s="1073" t="s">
        <v>4</v>
      </c>
      <c r="C9" s="1073"/>
      <c r="D9" s="651"/>
      <c r="E9" s="325"/>
      <c r="F9" s="325"/>
      <c r="G9" s="325"/>
      <c r="H9" s="325"/>
      <c r="I9" s="325"/>
      <c r="J9" s="325"/>
      <c r="K9" s="325"/>
      <c r="L9" s="325"/>
      <c r="M9" s="325"/>
      <c r="N9" s="87"/>
      <c r="O9" s="87"/>
      <c r="P9" s="87"/>
      <c r="Q9" s="2"/>
      <c r="R9" s="6" t="s">
        <v>5</v>
      </c>
      <c r="S9" s="2"/>
      <c r="T9" s="651"/>
      <c r="U9" s="601"/>
      <c r="V9" s="601"/>
      <c r="W9" s="601"/>
      <c r="X9" s="68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row>
    <row r="10" spans="1:105" ht="12.6" customHeight="1" x14ac:dyDescent="0.2">
      <c r="A10" s="1071" t="s">
        <v>21</v>
      </c>
      <c r="B10" s="1072"/>
      <c r="C10" s="1072"/>
      <c r="D10" s="1072"/>
      <c r="E10" s="651"/>
      <c r="F10" s="4"/>
      <c r="G10" s="4"/>
      <c r="H10" s="4"/>
      <c r="I10" s="4"/>
      <c r="J10" s="4"/>
      <c r="K10" s="4"/>
      <c r="L10" s="4"/>
      <c r="M10" s="4"/>
      <c r="N10" s="4"/>
      <c r="O10" s="4"/>
      <c r="P10" s="4"/>
      <c r="Q10" s="4"/>
      <c r="R10" s="1076"/>
      <c r="S10" s="1076"/>
      <c r="T10" s="1076"/>
      <c r="U10" s="1076"/>
      <c r="V10" s="1076"/>
      <c r="W10" s="1076"/>
      <c r="X10" s="68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row>
    <row r="11" spans="1:105" ht="12.6" customHeight="1" x14ac:dyDescent="0.2">
      <c r="A11" s="1071" t="s">
        <v>22</v>
      </c>
      <c r="B11" s="1072"/>
      <c r="C11" s="1072"/>
      <c r="D11" s="1072"/>
      <c r="E11" s="1072"/>
      <c r="F11" s="1072"/>
      <c r="G11" s="650"/>
      <c r="H11" s="602"/>
      <c r="I11" s="602"/>
      <c r="J11" s="602"/>
      <c r="K11" s="602"/>
      <c r="L11" s="602"/>
      <c r="M11" s="602"/>
      <c r="N11" s="602"/>
      <c r="O11" s="602"/>
      <c r="P11" s="602"/>
      <c r="Q11" s="2"/>
      <c r="R11" s="603" t="s">
        <v>23</v>
      </c>
      <c r="S11" s="604"/>
      <c r="T11" s="604"/>
      <c r="U11" s="604"/>
      <c r="V11" s="1074"/>
      <c r="W11" s="1074"/>
      <c r="X11" s="1075"/>
      <c r="Y11" s="604"/>
      <c r="Z11" s="604"/>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row>
    <row r="12" spans="1:105" ht="12.75" customHeight="1" x14ac:dyDescent="0.2">
      <c r="A12" s="1066" t="s">
        <v>24</v>
      </c>
      <c r="B12" s="1067"/>
      <c r="C12" s="1067"/>
      <c r="D12" s="1067"/>
      <c r="E12" s="1067"/>
      <c r="F12" s="1067"/>
      <c r="G12" s="1067"/>
      <c r="H12" s="1068"/>
      <c r="I12" s="1068"/>
      <c r="J12" s="1068"/>
      <c r="K12" s="1068"/>
      <c r="L12" s="604"/>
      <c r="M12" s="2"/>
      <c r="N12" s="2"/>
      <c r="O12" s="2"/>
      <c r="P12" s="2"/>
      <c r="Q12" s="2"/>
      <c r="R12" s="2" t="s">
        <v>25</v>
      </c>
      <c r="S12" s="605"/>
      <c r="T12" s="2"/>
      <c r="U12" s="2"/>
      <c r="V12" s="2"/>
      <c r="W12" s="604"/>
      <c r="X12" s="684"/>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row>
    <row r="13" spans="1:105" ht="12.6" customHeight="1" thickBot="1" x14ac:dyDescent="0.25">
      <c r="A13" s="1069" t="s">
        <v>831</v>
      </c>
      <c r="B13" s="1070"/>
      <c r="C13" s="1070"/>
      <c r="D13" s="1070"/>
      <c r="E13" s="1070"/>
      <c r="F13" s="1070"/>
      <c r="G13" s="1070"/>
      <c r="H13" s="1070"/>
      <c r="I13" s="1070"/>
      <c r="J13" s="1070"/>
      <c r="K13" s="1070"/>
      <c r="L13" s="1070"/>
      <c r="M13" s="1070"/>
      <c r="N13" s="1070"/>
      <c r="O13" s="1070"/>
      <c r="P13" s="1070"/>
      <c r="Q13" s="1070"/>
      <c r="R13" s="1070"/>
      <c r="S13" s="1070"/>
      <c r="T13" s="652"/>
      <c r="U13" s="9"/>
      <c r="V13" s="9"/>
      <c r="W13" s="9"/>
      <c r="X13" s="685"/>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row>
    <row r="14" spans="1:105" ht="12.6" customHeight="1" thickBot="1" x14ac:dyDescent="0.25">
      <c r="A14" s="1010" t="s">
        <v>27</v>
      </c>
      <c r="B14" s="1011"/>
      <c r="C14" s="1011"/>
      <c r="D14" s="1011"/>
      <c r="E14" s="1011"/>
      <c r="F14" s="1011"/>
      <c r="G14" s="1011"/>
      <c r="H14" s="1011"/>
      <c r="I14" s="1011"/>
      <c r="J14" s="1011"/>
      <c r="K14" s="1011"/>
      <c r="L14" s="1011"/>
      <c r="M14" s="1011"/>
      <c r="N14" s="1011"/>
      <c r="O14" s="1011"/>
      <c r="P14" s="1011"/>
      <c r="Q14" s="1011"/>
      <c r="R14" s="1011"/>
      <c r="S14" s="1011"/>
      <c r="T14" s="1011"/>
      <c r="U14" s="1011"/>
      <c r="V14" s="1011"/>
      <c r="W14" s="1011"/>
      <c r="X14" s="1012"/>
      <c r="Y14" s="502"/>
      <c r="Z14" s="502"/>
      <c r="AA14" s="502"/>
      <c r="AB14" s="502"/>
      <c r="AC14" s="502"/>
      <c r="AD14" s="502"/>
      <c r="AE14" s="502"/>
      <c r="AF14" s="502"/>
      <c r="AG14" s="502"/>
      <c r="AH14" s="502"/>
      <c r="AI14" s="502"/>
      <c r="AJ14" s="502"/>
      <c r="AK14" s="502"/>
      <c r="AL14" s="502"/>
      <c r="AM14" s="502"/>
      <c r="AN14" s="502"/>
      <c r="AO14" s="502"/>
      <c r="AP14" s="502"/>
      <c r="AQ14" s="502"/>
      <c r="AR14" s="50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row>
    <row r="15" spans="1:105" s="608" customFormat="1" ht="3" customHeight="1" thickBot="1" x14ac:dyDescent="0.25">
      <c r="A15" s="606"/>
      <c r="B15" s="607"/>
      <c r="C15" s="607"/>
      <c r="D15" s="607"/>
      <c r="E15" s="607"/>
      <c r="F15" s="607"/>
      <c r="G15" s="607"/>
      <c r="H15" s="607"/>
      <c r="I15" s="607"/>
      <c r="J15" s="607"/>
      <c r="K15" s="607"/>
      <c r="L15" s="607"/>
      <c r="M15" s="607"/>
      <c r="N15" s="607"/>
      <c r="O15" s="607"/>
      <c r="P15" s="607"/>
      <c r="Q15" s="607"/>
      <c r="R15" s="607"/>
      <c r="S15" s="607"/>
      <c r="T15" s="607"/>
      <c r="U15" s="607"/>
      <c r="V15" s="607"/>
      <c r="W15" s="607"/>
      <c r="X15" s="686"/>
      <c r="Y15" s="502"/>
      <c r="Z15" s="502"/>
      <c r="AA15" s="502"/>
      <c r="AB15" s="502"/>
      <c r="AC15" s="502"/>
      <c r="AD15" s="502"/>
      <c r="AE15" s="502"/>
      <c r="AF15" s="502"/>
      <c r="AG15" s="502"/>
      <c r="AH15" s="502"/>
      <c r="AI15" s="502"/>
      <c r="AJ15" s="502"/>
      <c r="AK15" s="502"/>
      <c r="AL15" s="502"/>
      <c r="AM15" s="502"/>
      <c r="AN15" s="502"/>
      <c r="AO15" s="502"/>
      <c r="AP15" s="502"/>
      <c r="AQ15" s="502"/>
      <c r="AR15" s="502"/>
    </row>
    <row r="16" spans="1:105" ht="12.6" customHeight="1" thickBot="1" x14ac:dyDescent="0.25">
      <c r="A16" s="1047" t="s">
        <v>759</v>
      </c>
      <c r="B16" s="1048"/>
      <c r="C16" s="1048"/>
      <c r="D16" s="1048"/>
      <c r="E16" s="1048"/>
      <c r="F16" s="1048"/>
      <c r="G16" s="1061"/>
      <c r="H16" s="516"/>
      <c r="I16" s="1047" t="s">
        <v>821</v>
      </c>
      <c r="J16" s="1048"/>
      <c r="K16" s="610"/>
      <c r="L16" s="610"/>
      <c r="M16" s="649"/>
      <c r="N16" s="611" t="s">
        <v>842</v>
      </c>
      <c r="O16" s="504"/>
      <c r="P16" s="610"/>
      <c r="Q16" s="610"/>
      <c r="R16" s="610"/>
      <c r="S16" s="654"/>
      <c r="T16" s="610"/>
      <c r="U16" s="610"/>
      <c r="V16" s="610"/>
      <c r="W16" s="610"/>
      <c r="X16" s="687"/>
      <c r="Y16" s="502"/>
      <c r="Z16" s="502"/>
      <c r="AA16" s="502"/>
      <c r="AB16" s="502"/>
      <c r="AC16" s="502"/>
      <c r="AD16" s="502"/>
      <c r="AE16" s="502"/>
      <c r="AF16" s="502"/>
      <c r="AG16" s="502"/>
      <c r="AH16" s="502"/>
      <c r="AI16" s="502"/>
      <c r="AJ16" s="502"/>
      <c r="AK16" s="502"/>
      <c r="AL16" s="502"/>
      <c r="AM16" s="502"/>
      <c r="AN16" s="502"/>
      <c r="AO16" s="502"/>
      <c r="AP16" s="502"/>
      <c r="AQ16" s="502"/>
      <c r="AR16" s="50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row>
    <row r="17" spans="1:105" ht="3" customHeight="1" x14ac:dyDescent="0.2">
      <c r="A17" s="612"/>
      <c r="B17" s="613"/>
      <c r="C17" s="613"/>
      <c r="D17" s="613"/>
      <c r="E17" s="613"/>
      <c r="F17" s="613"/>
      <c r="G17" s="613"/>
      <c r="H17" s="503"/>
      <c r="I17" s="613"/>
      <c r="J17" s="613"/>
      <c r="K17" s="614"/>
      <c r="L17" s="614"/>
      <c r="M17" s="503"/>
      <c r="N17" s="613"/>
      <c r="O17" s="613"/>
      <c r="P17" s="614"/>
      <c r="Q17" s="614"/>
      <c r="R17" s="614"/>
      <c r="S17" s="614"/>
      <c r="T17" s="614"/>
      <c r="U17" s="614"/>
      <c r="V17" s="614"/>
      <c r="W17" s="614"/>
      <c r="X17" s="688"/>
      <c r="Y17" s="502"/>
      <c r="Z17" s="502"/>
      <c r="AA17" s="502"/>
      <c r="AB17" s="502"/>
      <c r="AC17" s="502"/>
      <c r="AD17" s="502"/>
      <c r="AE17" s="502"/>
      <c r="AF17" s="502"/>
      <c r="AG17" s="502"/>
      <c r="AH17" s="502"/>
      <c r="AI17" s="502"/>
      <c r="AJ17" s="502"/>
      <c r="AK17" s="502"/>
      <c r="AL17" s="502"/>
      <c r="AM17" s="502"/>
      <c r="AN17" s="502"/>
      <c r="AO17" s="502"/>
      <c r="AP17" s="502"/>
      <c r="AQ17" s="502"/>
      <c r="AR17" s="50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1:105" ht="3" customHeight="1" thickBot="1" x14ac:dyDescent="0.25">
      <c r="A18" s="609"/>
      <c r="B18" s="14"/>
      <c r="C18" s="14"/>
      <c r="D18" s="14"/>
      <c r="E18" s="14"/>
      <c r="F18" s="14"/>
      <c r="G18" s="14"/>
      <c r="H18" s="615"/>
      <c r="I18" s="504"/>
      <c r="J18" s="610"/>
      <c r="K18" s="610"/>
      <c r="L18" s="610"/>
      <c r="M18" s="615"/>
      <c r="N18" s="14"/>
      <c r="O18" s="14"/>
      <c r="P18" s="610"/>
      <c r="Q18" s="610"/>
      <c r="R18" s="610"/>
      <c r="S18" s="610"/>
      <c r="T18" s="610"/>
      <c r="U18" s="610"/>
      <c r="V18" s="610"/>
      <c r="W18" s="610"/>
      <c r="X18" s="687"/>
      <c r="Y18" s="502"/>
      <c r="Z18" s="502"/>
      <c r="AA18" s="502"/>
      <c r="AB18" s="502"/>
      <c r="AC18" s="502"/>
      <c r="AD18" s="502"/>
      <c r="AE18" s="502"/>
      <c r="AF18" s="502"/>
      <c r="AG18" s="502"/>
      <c r="AH18" s="502"/>
      <c r="AI18" s="502"/>
      <c r="AJ18" s="502"/>
      <c r="AK18" s="502"/>
      <c r="AL18" s="502"/>
      <c r="AM18" s="502"/>
      <c r="AN18" s="502"/>
      <c r="AO18" s="502"/>
      <c r="AP18" s="502"/>
      <c r="AQ18" s="502"/>
      <c r="AR18" s="50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1:105" ht="12.6" customHeight="1" thickBot="1" x14ac:dyDescent="0.25">
      <c r="A19" s="1047" t="s">
        <v>760</v>
      </c>
      <c r="B19" s="1048"/>
      <c r="C19" s="1048"/>
      <c r="D19" s="1048"/>
      <c r="E19" s="1048"/>
      <c r="F19" s="1048"/>
      <c r="G19" s="1061"/>
      <c r="H19" s="655"/>
      <c r="I19" s="616"/>
      <c r="J19" s="649"/>
      <c r="K19" s="740" t="s">
        <v>138</v>
      </c>
      <c r="L19" s="1062"/>
      <c r="M19" s="1062"/>
      <c r="N19" s="1063" t="s">
        <v>761</v>
      </c>
      <c r="O19" s="1063"/>
      <c r="P19" s="1063"/>
      <c r="Q19" s="1063"/>
      <c r="R19" s="659" t="str">
        <f>IF(J19="x",40,"")</f>
        <v/>
      </c>
      <c r="S19" s="620" t="s">
        <v>762</v>
      </c>
      <c r="T19" s="621"/>
      <c r="U19" s="621"/>
      <c r="V19" s="622" t="str">
        <f>IF(J19="x","2x15","")</f>
        <v/>
      </c>
      <c r="W19" s="553" t="s">
        <v>125</v>
      </c>
      <c r="X19" s="653"/>
      <c r="Y19" s="502"/>
      <c r="Z19" s="502"/>
      <c r="AA19" s="502"/>
      <c r="AB19" s="502"/>
      <c r="AC19" s="502"/>
      <c r="AD19" s="502"/>
      <c r="AE19" s="502"/>
      <c r="AF19" s="502"/>
      <c r="AG19" s="502"/>
      <c r="AH19" s="502"/>
      <c r="AI19" s="502"/>
      <c r="AJ19" s="502"/>
      <c r="AK19" s="502"/>
      <c r="AL19" s="502"/>
      <c r="AM19" s="502"/>
      <c r="AN19" s="502"/>
      <c r="AO19" s="502"/>
      <c r="AP19" s="502"/>
      <c r="AQ19" s="502"/>
      <c r="AR19" s="50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1:105" ht="13.5" customHeight="1" thickBot="1" x14ac:dyDescent="0.25">
      <c r="A20" s="1047"/>
      <c r="B20" s="1048"/>
      <c r="C20" s="1048"/>
      <c r="D20" s="1048"/>
      <c r="E20" s="1048"/>
      <c r="F20" s="1048"/>
      <c r="G20" s="1048"/>
      <c r="H20" s="623"/>
      <c r="I20" s="505"/>
      <c r="J20" s="516" t="str">
        <f>IF(H19=1,"X","")</f>
        <v/>
      </c>
      <c r="K20" s="740" t="s">
        <v>763</v>
      </c>
      <c r="L20" s="1062"/>
      <c r="M20" s="1062"/>
      <c r="N20" s="1063" t="s">
        <v>761</v>
      </c>
      <c r="O20" s="1063"/>
      <c r="P20" s="1063"/>
      <c r="Q20" s="1063"/>
      <c r="R20" s="619" t="str">
        <f>IF(J20="x",25,"")</f>
        <v/>
      </c>
      <c r="S20" s="620" t="s">
        <v>762</v>
      </c>
      <c r="T20" s="621"/>
      <c r="U20" s="621"/>
      <c r="V20" s="621"/>
      <c r="W20" s="1064" t="s">
        <v>802</v>
      </c>
      <c r="X20" s="1065"/>
      <c r="Y20" s="502"/>
      <c r="Z20" s="502"/>
      <c r="AA20" s="502"/>
      <c r="AB20" s="502"/>
      <c r="AC20" s="502"/>
      <c r="AD20" s="502"/>
      <c r="AE20" s="502"/>
      <c r="AF20" s="502"/>
      <c r="AG20" s="502"/>
      <c r="AH20" s="502"/>
      <c r="AI20" s="502"/>
      <c r="AJ20" s="502"/>
      <c r="AK20" s="502"/>
      <c r="AL20" s="502"/>
      <c r="AM20" s="502"/>
      <c r="AN20" s="502"/>
      <c r="AO20" s="502"/>
      <c r="AP20" s="502"/>
      <c r="AQ20" s="502"/>
      <c r="AR20" s="50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row>
    <row r="21" spans="1:105" ht="3" customHeight="1" x14ac:dyDescent="0.2">
      <c r="A21" s="612"/>
      <c r="B21" s="613"/>
      <c r="C21" s="613"/>
      <c r="D21" s="613"/>
      <c r="E21" s="613"/>
      <c r="F21" s="613"/>
      <c r="G21" s="613"/>
      <c r="H21" s="624"/>
      <c r="I21" s="506"/>
      <c r="J21" s="506"/>
      <c r="K21" s="507"/>
      <c r="L21" s="507"/>
      <c r="M21" s="507"/>
      <c r="N21" s="508"/>
      <c r="O21" s="508"/>
      <c r="P21" s="508"/>
      <c r="Q21" s="508"/>
      <c r="R21" s="509"/>
      <c r="S21" s="509"/>
      <c r="T21" s="508"/>
      <c r="U21" s="508"/>
      <c r="V21" s="508"/>
      <c r="W21" s="509"/>
      <c r="X21" s="560"/>
      <c r="Y21" s="502"/>
      <c r="Z21" s="502"/>
      <c r="AA21" s="502"/>
      <c r="AB21" s="502"/>
      <c r="AC21" s="502"/>
      <c r="AD21" s="502"/>
      <c r="AE21" s="502"/>
      <c r="AF21" s="502"/>
      <c r="AG21" s="502"/>
      <c r="AH21" s="502"/>
      <c r="AI21" s="502"/>
      <c r="AJ21" s="502"/>
      <c r="AK21" s="502"/>
      <c r="AL21" s="502"/>
      <c r="AM21" s="502"/>
      <c r="AN21" s="502"/>
      <c r="AO21" s="502"/>
      <c r="AP21" s="502"/>
      <c r="AQ21" s="502"/>
      <c r="AR21" s="50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row>
    <row r="22" spans="1:105" ht="3" customHeight="1" thickBot="1" x14ac:dyDescent="0.25">
      <c r="A22" s="609"/>
      <c r="B22" s="14"/>
      <c r="C22" s="14"/>
      <c r="D22" s="14"/>
      <c r="E22" s="14"/>
      <c r="F22" s="14"/>
      <c r="G22" s="14"/>
      <c r="H22" s="625"/>
      <c r="I22" s="505"/>
      <c r="J22" s="505"/>
      <c r="K22" s="617"/>
      <c r="L22" s="617"/>
      <c r="M22" s="617"/>
      <c r="N22" s="618"/>
      <c r="O22" s="618"/>
      <c r="P22" s="618"/>
      <c r="Q22" s="618"/>
      <c r="R22" s="617"/>
      <c r="S22" s="617"/>
      <c r="T22" s="618"/>
      <c r="U22" s="618"/>
      <c r="V22" s="618"/>
      <c r="W22" s="626"/>
      <c r="X22" s="563"/>
      <c r="Y22" s="502"/>
      <c r="Z22" s="502"/>
      <c r="AA22" s="502"/>
      <c r="AB22" s="502"/>
      <c r="AC22" s="502"/>
      <c r="AD22" s="502"/>
      <c r="AE22" s="502"/>
      <c r="AF22" s="502"/>
      <c r="AG22" s="502"/>
      <c r="AH22" s="502"/>
      <c r="AI22" s="502"/>
      <c r="AJ22" s="502"/>
      <c r="AK22" s="502"/>
      <c r="AL22" s="502"/>
      <c r="AM22" s="502"/>
      <c r="AN22" s="502"/>
      <c r="AO22" s="502"/>
      <c r="AP22" s="502"/>
      <c r="AQ22" s="502"/>
      <c r="AR22" s="50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row>
    <row r="23" spans="1:105" ht="12.6" customHeight="1" thickBot="1" x14ac:dyDescent="0.25">
      <c r="A23" s="510" t="s">
        <v>764</v>
      </c>
      <c r="B23" s="627"/>
      <c r="C23" s="627"/>
      <c r="D23" s="627"/>
      <c r="E23" s="627"/>
      <c r="F23" s="627"/>
      <c r="G23" s="627"/>
      <c r="H23" s="656"/>
      <c r="I23" s="1047" t="s">
        <v>28</v>
      </c>
      <c r="J23" s="1048"/>
      <c r="K23" s="1048"/>
      <c r="L23" s="620" t="s">
        <v>761</v>
      </c>
      <c r="M23" s="621"/>
      <c r="N23" s="621"/>
      <c r="O23" s="628"/>
      <c r="P23" s="661"/>
      <c r="Q23" s="515"/>
      <c r="R23" s="1059" t="s">
        <v>843</v>
      </c>
      <c r="S23" s="1060"/>
      <c r="T23" s="504"/>
      <c r="U23" s="621"/>
      <c r="V23" s="629" t="s">
        <v>761</v>
      </c>
      <c r="W23" s="673"/>
      <c r="X23" s="689"/>
      <c r="Y23" s="502"/>
      <c r="Z23" s="502"/>
      <c r="AA23" s="502"/>
      <c r="AB23" s="502"/>
      <c r="AC23" s="502"/>
      <c r="AD23" s="502"/>
      <c r="AE23" s="502"/>
      <c r="AF23" s="502"/>
      <c r="AG23" s="502"/>
      <c r="AH23" s="502"/>
      <c r="AI23" s="502"/>
      <c r="AJ23" s="502"/>
      <c r="AK23" s="502"/>
      <c r="AL23" s="502"/>
      <c r="AM23" s="502"/>
      <c r="AN23" s="502"/>
      <c r="AO23" s="502"/>
      <c r="AP23" s="502"/>
      <c r="AQ23" s="502"/>
      <c r="AR23" s="50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row>
    <row r="24" spans="1:105" ht="3" customHeight="1" x14ac:dyDescent="0.2">
      <c r="A24" s="511"/>
      <c r="B24" s="512"/>
      <c r="C24" s="512"/>
      <c r="D24" s="512"/>
      <c r="E24" s="512"/>
      <c r="F24" s="512"/>
      <c r="G24" s="512"/>
      <c r="H24" s="506"/>
      <c r="I24" s="506"/>
      <c r="J24" s="503"/>
      <c r="K24" s="630"/>
      <c r="L24" s="630"/>
      <c r="M24" s="613"/>
      <c r="N24" s="764"/>
      <c r="O24" s="764"/>
      <c r="P24" s="764"/>
      <c r="Q24" s="764"/>
      <c r="R24" s="1055"/>
      <c r="S24" s="1055"/>
      <c r="T24" s="631"/>
      <c r="U24" s="631"/>
      <c r="V24" s="631" t="s">
        <v>311</v>
      </c>
      <c r="W24" s="766"/>
      <c r="X24" s="767"/>
      <c r="Y24" s="502"/>
      <c r="Z24" s="502"/>
      <c r="AA24" s="502"/>
      <c r="AB24" s="502"/>
      <c r="AC24" s="502"/>
      <c r="AD24" s="502"/>
      <c r="AE24" s="502"/>
      <c r="AF24" s="502"/>
      <c r="AG24" s="502"/>
      <c r="AH24" s="502"/>
      <c r="AI24" s="502"/>
      <c r="AJ24" s="502"/>
      <c r="AK24" s="502"/>
      <c r="AL24" s="502"/>
      <c r="AM24" s="502"/>
      <c r="AN24" s="502"/>
      <c r="AO24" s="502"/>
      <c r="AP24" s="502"/>
      <c r="AQ24" s="502"/>
      <c r="AR24" s="50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row>
    <row r="25" spans="1:105" ht="3" customHeight="1" x14ac:dyDescent="0.2">
      <c r="A25" s="513"/>
      <c r="B25" s="632"/>
      <c r="C25" s="632"/>
      <c r="D25" s="632"/>
      <c r="E25" s="632"/>
      <c r="F25" s="632"/>
      <c r="G25" s="632"/>
      <c r="H25" s="505"/>
      <c r="I25" s="505"/>
      <c r="J25" s="615"/>
      <c r="K25" s="504"/>
      <c r="L25" s="504"/>
      <c r="M25" s="14"/>
      <c r="N25" s="618"/>
      <c r="O25" s="618"/>
      <c r="P25" s="618"/>
      <c r="Q25" s="618"/>
      <c r="R25" s="514"/>
      <c r="S25" s="514"/>
      <c r="T25" s="2"/>
      <c r="U25" s="2"/>
      <c r="V25" s="2"/>
      <c r="W25" s="633"/>
      <c r="X25" s="569"/>
      <c r="Y25" s="502"/>
      <c r="Z25" s="502"/>
      <c r="AA25" s="502"/>
      <c r="AB25" s="502"/>
      <c r="AC25" s="502"/>
      <c r="AD25" s="502"/>
      <c r="AE25" s="502"/>
      <c r="AF25" s="502"/>
      <c r="AG25" s="502"/>
      <c r="AH25" s="502"/>
      <c r="AI25" s="502"/>
      <c r="AJ25" s="502"/>
      <c r="AK25" s="502"/>
      <c r="AL25" s="502"/>
      <c r="AM25" s="502"/>
      <c r="AN25" s="502"/>
      <c r="AO25" s="502"/>
      <c r="AP25" s="502"/>
      <c r="AQ25" s="502"/>
      <c r="AR25" s="50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row>
    <row r="26" spans="1:105" ht="12.6" customHeight="1" x14ac:dyDescent="0.2">
      <c r="A26" s="609" t="s">
        <v>766</v>
      </c>
      <c r="B26" s="14"/>
      <c r="C26" s="14"/>
      <c r="D26" s="14"/>
      <c r="E26" s="14"/>
      <c r="F26" s="14"/>
      <c r="G26" s="14"/>
      <c r="H26" s="617"/>
      <c r="I26" s="617"/>
      <c r="J26" s="1056"/>
      <c r="K26" s="1056"/>
      <c r="L26" s="1056"/>
      <c r="M26" s="1056"/>
      <c r="N26" s="1056"/>
      <c r="O26" s="1056"/>
      <c r="P26" s="2"/>
      <c r="Q26" s="2"/>
      <c r="R26" s="2"/>
      <c r="S26" s="2"/>
      <c r="T26" s="2"/>
      <c r="U26" s="2"/>
      <c r="V26" s="2"/>
      <c r="W26" s="1057"/>
      <c r="X26" s="1058"/>
      <c r="Y26" s="502"/>
      <c r="Z26" s="502"/>
      <c r="AA26" s="502"/>
      <c r="AB26" s="502"/>
      <c r="AC26" s="502"/>
      <c r="AD26" s="502"/>
      <c r="AE26" s="502"/>
      <c r="AF26" s="502"/>
      <c r="AG26" s="502"/>
      <c r="AH26" s="502"/>
      <c r="AI26" s="502"/>
      <c r="AJ26" s="502"/>
      <c r="AK26" s="502"/>
      <c r="AL26" s="502"/>
      <c r="AM26" s="502"/>
      <c r="AN26" s="502"/>
      <c r="AO26" s="502"/>
      <c r="AP26" s="502"/>
      <c r="AQ26" s="502"/>
      <c r="AR26" s="50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row>
    <row r="27" spans="1:105" ht="12.6" customHeight="1" thickBot="1" x14ac:dyDescent="0.25">
      <c r="A27" s="1047" t="s">
        <v>767</v>
      </c>
      <c r="B27" s="1048"/>
      <c r="C27" s="1048"/>
      <c r="D27" s="1048"/>
      <c r="E27" s="1048"/>
      <c r="F27" s="1048"/>
      <c r="G27" s="1048"/>
      <c r="H27" s="1048"/>
      <c r="I27" s="1048"/>
      <c r="J27" s="1048"/>
      <c r="K27" s="1048"/>
      <c r="L27" s="1048"/>
      <c r="M27" s="1048"/>
      <c r="N27" s="1048"/>
      <c r="O27" s="1048"/>
      <c r="P27" s="1048"/>
      <c r="Q27" s="1048"/>
      <c r="R27" s="1048"/>
      <c r="S27" s="1048"/>
      <c r="T27" s="1048"/>
      <c r="U27" s="1048"/>
      <c r="V27" s="1048"/>
      <c r="W27" s="1048"/>
      <c r="X27" s="690"/>
      <c r="Y27" s="502"/>
      <c r="Z27" s="502"/>
      <c r="AA27" s="502"/>
      <c r="AB27" s="502"/>
      <c r="AC27" s="502"/>
      <c r="AD27" s="502"/>
      <c r="AE27" s="502"/>
      <c r="AF27" s="502"/>
      <c r="AG27" s="502"/>
      <c r="AH27" s="502"/>
      <c r="AI27" s="502"/>
      <c r="AJ27" s="502"/>
      <c r="AK27" s="502"/>
      <c r="AL27" s="502"/>
      <c r="AM27" s="502"/>
      <c r="AN27" s="502"/>
      <c r="AO27" s="502"/>
      <c r="AP27" s="502"/>
      <c r="AQ27" s="502"/>
      <c r="AR27" s="50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row>
    <row r="28" spans="1:105" ht="12.6" customHeight="1" thickBot="1" x14ac:dyDescent="0.25">
      <c r="A28" s="600"/>
      <c r="B28" s="2"/>
      <c r="C28" s="515"/>
      <c r="D28" s="1053" t="s">
        <v>29</v>
      </c>
      <c r="E28" s="1054"/>
      <c r="F28" s="1054"/>
      <c r="G28" s="1054"/>
      <c r="H28" s="1054"/>
      <c r="I28" s="634"/>
      <c r="J28" s="656"/>
      <c r="K28" s="1053" t="s">
        <v>30</v>
      </c>
      <c r="L28" s="1054"/>
      <c r="M28" s="635"/>
      <c r="N28" s="14"/>
      <c r="O28" s="515"/>
      <c r="P28" s="1053" t="s">
        <v>31</v>
      </c>
      <c r="Q28" s="1054"/>
      <c r="R28" s="635"/>
      <c r="S28" s="14"/>
      <c r="T28" s="515"/>
      <c r="U28" s="1053" t="s">
        <v>32</v>
      </c>
      <c r="V28" s="1054"/>
      <c r="W28" s="14"/>
      <c r="X28" s="662"/>
      <c r="Y28" s="502"/>
      <c r="Z28" s="502"/>
      <c r="AA28" s="502"/>
      <c r="AB28" s="502"/>
      <c r="AC28" s="502"/>
      <c r="AD28" s="502"/>
      <c r="AE28" s="502"/>
      <c r="AF28" s="502"/>
      <c r="AG28" s="502"/>
      <c r="AH28" s="502"/>
      <c r="AI28" s="502"/>
      <c r="AJ28" s="502"/>
      <c r="AK28" s="502"/>
      <c r="AL28" s="502"/>
      <c r="AM28" s="502"/>
      <c r="AN28" s="502"/>
      <c r="AO28" s="502"/>
      <c r="AP28" s="502"/>
      <c r="AQ28" s="502"/>
      <c r="AR28" s="50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row>
    <row r="29" spans="1:105" ht="12.6" customHeight="1" thickBot="1" x14ac:dyDescent="0.25">
      <c r="A29" s="1010" t="s">
        <v>768</v>
      </c>
      <c r="B29" s="1011"/>
      <c r="C29" s="1011"/>
      <c r="D29" s="1011"/>
      <c r="E29" s="1011"/>
      <c r="F29" s="1011"/>
      <c r="G29" s="1011"/>
      <c r="H29" s="1011"/>
      <c r="I29" s="1011"/>
      <c r="J29" s="1011"/>
      <c r="K29" s="1011"/>
      <c r="L29" s="1011"/>
      <c r="M29" s="1011"/>
      <c r="N29" s="1011"/>
      <c r="O29" s="1011"/>
      <c r="P29" s="1011"/>
      <c r="Q29" s="1011"/>
      <c r="R29" s="1011"/>
      <c r="S29" s="1011"/>
      <c r="T29" s="1011"/>
      <c r="U29" s="1011"/>
      <c r="V29" s="1011"/>
      <c r="W29" s="1011"/>
      <c r="X29" s="1012"/>
      <c r="Y29" s="2"/>
      <c r="Z29" s="502"/>
      <c r="AA29" s="502"/>
      <c r="AB29" s="502"/>
      <c r="AC29" s="502"/>
      <c r="AD29" s="502"/>
      <c r="AE29" s="50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row>
    <row r="30" spans="1:105" ht="3" customHeight="1" thickBot="1" x14ac:dyDescent="0.25">
      <c r="A30" s="636"/>
      <c r="B30" s="637"/>
      <c r="C30" s="637"/>
      <c r="D30" s="637"/>
      <c r="E30" s="637"/>
      <c r="F30" s="637"/>
      <c r="G30" s="637"/>
      <c r="H30" s="637"/>
      <c r="I30" s="637"/>
      <c r="J30" s="637"/>
      <c r="K30" s="637"/>
      <c r="L30" s="637"/>
      <c r="M30" s="637"/>
      <c r="N30" s="637"/>
      <c r="O30" s="637"/>
      <c r="P30" s="637"/>
      <c r="Q30" s="637"/>
      <c r="R30" s="637"/>
      <c r="S30" s="637"/>
      <c r="T30" s="637"/>
      <c r="U30" s="637"/>
      <c r="V30" s="637"/>
      <c r="W30" s="637"/>
      <c r="X30" s="691"/>
      <c r="Y30" s="502"/>
      <c r="Z30" s="502"/>
      <c r="AA30" s="502"/>
      <c r="AB30" s="502"/>
      <c r="AC30" s="502"/>
      <c r="AD30" s="502"/>
      <c r="AE30" s="502"/>
      <c r="AF30" s="502"/>
      <c r="AG30" s="502"/>
      <c r="AH30" s="502"/>
      <c r="AI30" s="502"/>
      <c r="AJ30" s="502"/>
      <c r="AK30" s="502"/>
      <c r="AL30" s="502"/>
      <c r="AM30" s="502"/>
      <c r="AN30" s="502"/>
      <c r="AO30" s="502"/>
      <c r="AP30" s="502"/>
      <c r="AQ30" s="502"/>
      <c r="AR30" s="50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row>
    <row r="31" spans="1:105" ht="12.6" customHeight="1" thickBot="1" x14ac:dyDescent="0.25">
      <c r="A31" s="1047" t="s">
        <v>33</v>
      </c>
      <c r="B31" s="1048"/>
      <c r="C31" s="1048"/>
      <c r="D31" s="1048"/>
      <c r="E31" s="1048"/>
      <c r="F31" s="1048"/>
      <c r="G31" s="504"/>
      <c r="H31" s="517"/>
      <c r="I31" s="1047" t="s">
        <v>34</v>
      </c>
      <c r="J31" s="1048"/>
      <c r="K31" s="1048"/>
      <c r="L31" s="2"/>
      <c r="M31" s="657"/>
      <c r="N31" s="1049" t="s">
        <v>35</v>
      </c>
      <c r="O31" s="935"/>
      <c r="P31" s="935"/>
      <c r="Q31" s="935"/>
      <c r="R31" s="2"/>
      <c r="S31" s="2"/>
      <c r="T31" s="657"/>
      <c r="U31" s="1047" t="s">
        <v>36</v>
      </c>
      <c r="V31" s="1048"/>
      <c r="W31" s="504"/>
      <c r="X31" s="692"/>
      <c r="Y31" s="502"/>
      <c r="Z31" s="502"/>
      <c r="AA31" s="502"/>
      <c r="AB31" s="502"/>
      <c r="AC31" s="502"/>
      <c r="AD31" s="502"/>
      <c r="AE31" s="502"/>
      <c r="AF31" s="502"/>
      <c r="AG31" s="502"/>
      <c r="AH31" s="502"/>
      <c r="AI31" s="502"/>
      <c r="AJ31" s="502"/>
      <c r="AK31" s="502"/>
      <c r="AL31" s="502"/>
      <c r="AM31" s="502"/>
      <c r="AN31" s="502"/>
      <c r="AO31" s="502"/>
      <c r="AP31" s="502"/>
      <c r="AQ31" s="502"/>
      <c r="AR31" s="50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row>
    <row r="32" spans="1:105" ht="12.6" customHeight="1" x14ac:dyDescent="0.2">
      <c r="A32" s="779" t="s">
        <v>769</v>
      </c>
      <c r="B32" s="1050"/>
      <c r="C32" s="1050"/>
      <c r="D32" s="1050"/>
      <c r="E32" s="1050"/>
      <c r="F32" s="1050"/>
      <c r="G32" s="1050"/>
      <c r="H32" s="1050"/>
      <c r="I32" s="1050"/>
      <c r="J32" s="1050"/>
      <c r="K32" s="1050"/>
      <c r="L32" s="1051"/>
      <c r="M32" s="1051"/>
      <c r="N32" s="1051"/>
      <c r="O32" s="1051"/>
      <c r="P32" s="1051"/>
      <c r="Q32" s="1051"/>
      <c r="R32" s="1051"/>
      <c r="S32" s="1051"/>
      <c r="T32" s="1051"/>
      <c r="U32" s="1051"/>
      <c r="V32" s="1051"/>
      <c r="W32" s="1051"/>
      <c r="X32" s="1052"/>
      <c r="Y32" s="502"/>
      <c r="Z32" s="502"/>
      <c r="AA32" s="502"/>
      <c r="AB32" s="502"/>
      <c r="AC32" s="502"/>
      <c r="AD32" s="502"/>
      <c r="AE32" s="502"/>
      <c r="AF32" s="502"/>
      <c r="AG32" s="502"/>
      <c r="AH32" s="502"/>
      <c r="AI32" s="502"/>
      <c r="AJ32" s="502"/>
      <c r="AK32" s="502"/>
      <c r="AL32" s="502"/>
      <c r="AM32" s="502"/>
      <c r="AN32" s="502"/>
      <c r="AO32" s="502"/>
      <c r="AP32" s="502"/>
      <c r="AQ32" s="502"/>
      <c r="AR32" s="50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row>
    <row r="33" spans="1:105" ht="12.6" customHeight="1" thickBot="1" x14ac:dyDescent="0.25">
      <c r="A33" s="783" t="s">
        <v>770</v>
      </c>
      <c r="B33" s="784"/>
      <c r="C33" s="784"/>
      <c r="D33" s="784"/>
      <c r="E33" s="784"/>
      <c r="F33" s="784"/>
      <c r="G33" s="1044"/>
      <c r="H33" s="1044"/>
      <c r="I33" s="1044"/>
      <c r="J33" s="792"/>
      <c r="K33" s="792"/>
      <c r="L33" s="792"/>
      <c r="M33" s="1045" t="s">
        <v>771</v>
      </c>
      <c r="N33" s="1045"/>
      <c r="O33" s="1045"/>
      <c r="P33" s="1045"/>
      <c r="Q33" s="1045"/>
      <c r="R33" s="1045"/>
      <c r="S33" s="1045"/>
      <c r="T33" s="1045"/>
      <c r="U33" s="1045"/>
      <c r="V33" s="1044"/>
      <c r="W33" s="1044"/>
      <c r="X33" s="1046"/>
      <c r="Y33" s="502"/>
      <c r="Z33" s="502"/>
      <c r="AA33" s="502"/>
      <c r="AB33" s="502"/>
      <c r="AC33" s="502"/>
      <c r="AD33" s="502"/>
      <c r="AE33" s="502"/>
      <c r="AF33" s="502"/>
      <c r="AG33" s="502"/>
      <c r="AH33" s="502"/>
      <c r="AI33" s="502"/>
      <c r="AJ33" s="502"/>
      <c r="AK33" s="502"/>
      <c r="AL33" s="502"/>
      <c r="AM33" s="502"/>
      <c r="AN33" s="502"/>
      <c r="AO33" s="502"/>
      <c r="AP33" s="502"/>
      <c r="AQ33" s="502"/>
      <c r="AR33" s="50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row>
    <row r="34" spans="1:105" ht="12.6" customHeight="1" thickBot="1" x14ac:dyDescent="0.25">
      <c r="A34" s="1010" t="s">
        <v>37</v>
      </c>
      <c r="B34" s="1011"/>
      <c r="C34" s="1011"/>
      <c r="D34" s="1011"/>
      <c r="E34" s="1011"/>
      <c r="F34" s="1011"/>
      <c r="G34" s="1011"/>
      <c r="H34" s="1011"/>
      <c r="I34" s="1011"/>
      <c r="J34" s="1011"/>
      <c r="K34" s="1011"/>
      <c r="L34" s="1011"/>
      <c r="M34" s="1011"/>
      <c r="N34" s="1011"/>
      <c r="O34" s="1011"/>
      <c r="P34" s="1011"/>
      <c r="Q34" s="1011"/>
      <c r="R34" s="1011"/>
      <c r="S34" s="1011"/>
      <c r="T34" s="1011"/>
      <c r="U34" s="1011"/>
      <c r="V34" s="1011"/>
      <c r="W34" s="1011"/>
      <c r="X34" s="1012"/>
      <c r="Y34" s="2"/>
      <c r="Z34" s="502"/>
      <c r="AA34" s="502"/>
      <c r="AB34" s="502"/>
      <c r="AC34" s="502"/>
      <c r="AD34" s="502"/>
      <c r="AE34" s="50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row>
    <row r="35" spans="1:105" ht="12.6" customHeight="1" x14ac:dyDescent="0.2">
      <c r="A35" s="1037" t="s">
        <v>772</v>
      </c>
      <c r="B35" s="1038"/>
      <c r="C35" s="1038"/>
      <c r="D35" s="1038"/>
      <c r="E35" s="1038"/>
      <c r="F35" s="1038"/>
      <c r="G35" s="1038"/>
      <c r="H35" s="1038"/>
      <c r="I35" s="1038"/>
      <c r="J35" s="1038"/>
      <c r="K35" s="1038"/>
      <c r="L35" s="1038"/>
      <c r="M35" s="1039"/>
      <c r="N35" s="1040"/>
      <c r="O35" s="1040"/>
      <c r="P35" s="1040"/>
      <c r="Q35" s="1040"/>
      <c r="R35" s="1040"/>
      <c r="S35" s="1040"/>
      <c r="T35" s="1040"/>
      <c r="U35" s="1040"/>
      <c r="V35" s="1040"/>
      <c r="W35" s="1040"/>
      <c r="X35" s="1041"/>
      <c r="Y35" s="502"/>
      <c r="Z35" s="502"/>
      <c r="AA35" s="502"/>
      <c r="AB35" s="502"/>
      <c r="AC35" s="502"/>
      <c r="AD35" s="502"/>
      <c r="AE35" s="502"/>
      <c r="AF35" s="502"/>
      <c r="AG35" s="502"/>
      <c r="AH35" s="502"/>
      <c r="AI35" s="502"/>
      <c r="AJ35" s="502"/>
      <c r="AK35" s="502"/>
      <c r="AL35" s="502"/>
      <c r="AM35" s="502"/>
      <c r="AN35" s="502"/>
      <c r="AO35" s="502"/>
      <c r="AP35" s="502"/>
      <c r="AQ35" s="502"/>
      <c r="AR35" s="50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row>
    <row r="36" spans="1:105" ht="12.6" customHeight="1" x14ac:dyDescent="0.2">
      <c r="A36" s="938" t="s">
        <v>773</v>
      </c>
      <c r="B36" s="939"/>
      <c r="C36" s="939"/>
      <c r="D36" s="939"/>
      <c r="E36" s="939"/>
      <c r="F36" s="939"/>
      <c r="G36" s="939"/>
      <c r="H36" s="939"/>
      <c r="I36" s="1036"/>
      <c r="J36" s="1036"/>
      <c r="K36" s="1036"/>
      <c r="L36" s="1036"/>
      <c r="M36" s="1036"/>
      <c r="N36" s="939" t="s">
        <v>774</v>
      </c>
      <c r="O36" s="939"/>
      <c r="P36" s="939"/>
      <c r="Q36" s="939"/>
      <c r="R36" s="939"/>
      <c r="S36" s="939"/>
      <c r="T36" s="939"/>
      <c r="U36" s="1042"/>
      <c r="V36" s="1042"/>
      <c r="W36" s="1042"/>
      <c r="X36" s="1043"/>
      <c r="Y36" s="502"/>
      <c r="Z36" s="502"/>
      <c r="AA36" s="502"/>
      <c r="AB36" s="502"/>
      <c r="AC36" s="502"/>
      <c r="AD36" s="502"/>
      <c r="AE36" s="502"/>
      <c r="AF36" s="502"/>
      <c r="AG36" s="502"/>
      <c r="AH36" s="502"/>
      <c r="AI36" s="502"/>
      <c r="AJ36" s="502"/>
      <c r="AK36" s="502"/>
      <c r="AL36" s="502"/>
      <c r="AM36" s="502"/>
      <c r="AN36" s="502"/>
      <c r="AO36" s="502"/>
      <c r="AP36" s="502"/>
      <c r="AQ36" s="502"/>
      <c r="AR36" s="50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row>
    <row r="37" spans="1:105" ht="12.6" customHeight="1" x14ac:dyDescent="0.2">
      <c r="A37" s="938" t="s">
        <v>775</v>
      </c>
      <c r="B37" s="939"/>
      <c r="C37" s="939"/>
      <c r="D37" s="939"/>
      <c r="E37" s="939"/>
      <c r="F37" s="939"/>
      <c r="G37" s="939"/>
      <c r="H37" s="939"/>
      <c r="I37" s="939"/>
      <c r="J37" s="939"/>
      <c r="K37" s="939"/>
      <c r="L37" s="1032"/>
      <c r="M37" s="1032"/>
      <c r="N37" s="939" t="s">
        <v>776</v>
      </c>
      <c r="O37" s="939"/>
      <c r="P37" s="939"/>
      <c r="Q37" s="939"/>
      <c r="R37" s="939"/>
      <c r="S37" s="939"/>
      <c r="T37" s="939"/>
      <c r="U37" s="1033"/>
      <c r="V37" s="1033"/>
      <c r="W37" s="1033"/>
      <c r="X37" s="1034"/>
      <c r="Y37" s="502"/>
      <c r="Z37" s="502"/>
      <c r="AA37" s="502"/>
      <c r="AB37" s="502"/>
      <c r="AC37" s="502"/>
      <c r="AD37" s="502"/>
      <c r="AE37" s="502"/>
      <c r="AF37" s="502"/>
      <c r="AG37" s="502"/>
      <c r="AH37" s="502"/>
      <c r="AI37" s="502"/>
      <c r="AJ37" s="502"/>
      <c r="AK37" s="502"/>
      <c r="AL37" s="502"/>
      <c r="AM37" s="502"/>
      <c r="AN37" s="502"/>
      <c r="AO37" s="502"/>
      <c r="AP37" s="502"/>
      <c r="AQ37" s="502"/>
      <c r="AR37" s="50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row>
    <row r="38" spans="1:105" ht="12.6" customHeight="1" x14ac:dyDescent="0.2">
      <c r="A38" s="938" t="s">
        <v>777</v>
      </c>
      <c r="B38" s="939"/>
      <c r="C38" s="939"/>
      <c r="D38" s="939"/>
      <c r="E38" s="939"/>
      <c r="F38" s="939"/>
      <c r="G38" s="939"/>
      <c r="H38" s="939"/>
      <c r="I38" s="939"/>
      <c r="J38" s="939"/>
      <c r="K38" s="939"/>
      <c r="L38" s="1035"/>
      <c r="M38" s="1035"/>
      <c r="N38" s="939" t="s">
        <v>778</v>
      </c>
      <c r="O38" s="939"/>
      <c r="P38" s="939"/>
      <c r="Q38" s="939"/>
      <c r="R38" s="939"/>
      <c r="S38" s="939"/>
      <c r="T38" s="1036"/>
      <c r="U38" s="1036"/>
      <c r="V38" s="1036"/>
      <c r="W38" s="1036"/>
      <c r="X38" s="539"/>
      <c r="Y38" s="502"/>
      <c r="Z38" s="502"/>
      <c r="AA38" s="502"/>
      <c r="AB38" s="502"/>
      <c r="AC38" s="502"/>
      <c r="AD38" s="502"/>
      <c r="AE38" s="502"/>
      <c r="AF38" s="502"/>
      <c r="AG38" s="502"/>
      <c r="AH38" s="502"/>
      <c r="AI38" s="502"/>
      <c r="AJ38" s="502"/>
      <c r="AK38" s="502"/>
      <c r="AL38" s="502"/>
      <c r="AM38" s="502"/>
      <c r="AN38" s="502"/>
      <c r="AO38" s="502"/>
      <c r="AP38" s="502"/>
      <c r="AQ38" s="502"/>
      <c r="AR38" s="50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row>
    <row r="39" spans="1:105" ht="12.6" customHeight="1" thickBot="1" x14ac:dyDescent="0.25">
      <c r="A39" s="1027" t="s">
        <v>779</v>
      </c>
      <c r="B39" s="1028"/>
      <c r="C39" s="1028"/>
      <c r="D39" s="1028"/>
      <c r="E39" s="1028"/>
      <c r="F39" s="1028"/>
      <c r="G39" s="1028"/>
      <c r="H39" s="1028"/>
      <c r="I39" s="1029"/>
      <c r="J39" s="1029"/>
      <c r="K39" s="1030"/>
      <c r="L39" s="1030"/>
      <c r="M39" s="639"/>
      <c r="N39" s="1028" t="s">
        <v>780</v>
      </c>
      <c r="O39" s="1028"/>
      <c r="P39" s="1028"/>
      <c r="Q39" s="1028"/>
      <c r="R39" s="1028"/>
      <c r="S39" s="1031"/>
      <c r="T39" s="1031"/>
      <c r="U39" s="803" t="s">
        <v>38</v>
      </c>
      <c r="V39" s="803"/>
      <c r="W39" s="803"/>
      <c r="X39" s="693"/>
      <c r="Y39" s="502"/>
      <c r="Z39" s="502"/>
      <c r="AA39" s="502"/>
      <c r="AB39" s="502"/>
      <c r="AC39" s="502"/>
      <c r="AD39" s="502"/>
      <c r="AE39" s="502"/>
      <c r="AF39" s="502"/>
      <c r="AG39" s="502"/>
      <c r="AH39" s="502"/>
      <c r="AI39" s="502"/>
      <c r="AJ39" s="502"/>
      <c r="AK39" s="502"/>
      <c r="AL39" s="502"/>
      <c r="AM39" s="502"/>
      <c r="AN39" s="502"/>
      <c r="AO39" s="502"/>
      <c r="AP39" s="502"/>
      <c r="AQ39" s="502"/>
      <c r="AR39" s="50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row>
    <row r="40" spans="1:105" ht="12.6" customHeight="1" thickBot="1" x14ac:dyDescent="0.25">
      <c r="A40" s="1010" t="s">
        <v>39</v>
      </c>
      <c r="B40" s="1011"/>
      <c r="C40" s="1011"/>
      <c r="D40" s="1011"/>
      <c r="E40" s="1011"/>
      <c r="F40" s="1011"/>
      <c r="G40" s="1011"/>
      <c r="H40" s="1011"/>
      <c r="I40" s="1011"/>
      <c r="J40" s="1011"/>
      <c r="K40" s="1011"/>
      <c r="L40" s="1011"/>
      <c r="M40" s="1011"/>
      <c r="N40" s="1011"/>
      <c r="O40" s="1011"/>
      <c r="P40" s="1011"/>
      <c r="Q40" s="1011"/>
      <c r="R40" s="1011"/>
      <c r="S40" s="1011"/>
      <c r="T40" s="1011"/>
      <c r="U40" s="1011"/>
      <c r="V40" s="1011"/>
      <c r="W40" s="1011"/>
      <c r="X40" s="101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row>
    <row r="41" spans="1:105" ht="12.6" customHeight="1" x14ac:dyDescent="0.2">
      <c r="A41" s="1013" t="s">
        <v>782</v>
      </c>
      <c r="B41" s="1014"/>
      <c r="C41" s="1014"/>
      <c r="D41" s="1014"/>
      <c r="E41" s="1014"/>
      <c r="F41" s="1014"/>
      <c r="G41" s="1014"/>
      <c r="H41" s="1014"/>
      <c r="I41" s="1014"/>
      <c r="J41" s="1014"/>
      <c r="K41" s="1014"/>
      <c r="L41" s="1014"/>
      <c r="M41" s="1015"/>
      <c r="N41" s="1015"/>
      <c r="O41" s="1015"/>
      <c r="P41" s="1015"/>
      <c r="Q41" s="1015"/>
      <c r="R41" s="1015"/>
      <c r="S41" s="1015"/>
      <c r="T41" s="1015"/>
      <c r="U41" s="1015"/>
      <c r="V41" s="1015"/>
      <c r="W41" s="1015"/>
      <c r="X41" s="1016"/>
      <c r="Y41" s="502"/>
      <c r="Z41" s="502"/>
      <c r="AA41" s="502"/>
      <c r="AB41" s="502"/>
      <c r="AC41" s="502"/>
      <c r="AD41" s="502"/>
      <c r="AE41" s="502"/>
      <c r="AF41" s="502"/>
      <c r="AG41" s="502"/>
      <c r="AH41" s="502"/>
      <c r="AI41" s="502"/>
      <c r="AJ41" s="502"/>
      <c r="AK41" s="502"/>
      <c r="AL41" s="502"/>
      <c r="AM41" s="502"/>
      <c r="AN41" s="502"/>
      <c r="AO41" s="502"/>
      <c r="AP41" s="502"/>
      <c r="AQ41" s="502"/>
      <c r="AR41" s="50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row>
    <row r="42" spans="1:105" ht="12.6" customHeight="1" x14ac:dyDescent="0.2">
      <c r="A42" s="1017" t="s">
        <v>783</v>
      </c>
      <c r="B42" s="1018"/>
      <c r="C42" s="1018"/>
      <c r="D42" s="1018"/>
      <c r="E42" s="1018"/>
      <c r="F42" s="1018"/>
      <c r="G42" s="1018"/>
      <c r="H42" s="1018"/>
      <c r="I42" s="1018"/>
      <c r="J42" s="1018"/>
      <c r="K42" s="1018"/>
      <c r="L42" s="1018"/>
      <c r="M42" s="1018"/>
      <c r="N42" s="1018"/>
      <c r="O42" s="1018"/>
      <c r="P42" s="1018"/>
      <c r="Q42" s="1018"/>
      <c r="R42" s="1018"/>
      <c r="S42" s="1018"/>
      <c r="T42" s="1018"/>
      <c r="U42" s="1018"/>
      <c r="V42" s="1018"/>
      <c r="W42" s="1018"/>
      <c r="X42" s="1019"/>
      <c r="Y42" s="502"/>
      <c r="Z42" s="502"/>
      <c r="AA42" s="502"/>
      <c r="AB42" s="502"/>
      <c r="AC42" s="502"/>
      <c r="AD42" s="502"/>
      <c r="AE42" s="502"/>
      <c r="AF42" s="502"/>
      <c r="AG42" s="502"/>
      <c r="AH42" s="502"/>
      <c r="AI42" s="502"/>
      <c r="AJ42" s="502"/>
      <c r="AK42" s="502"/>
      <c r="AL42" s="502"/>
      <c r="AM42" s="502"/>
      <c r="AN42" s="502"/>
      <c r="AO42" s="502"/>
      <c r="AP42" s="502"/>
      <c r="AQ42" s="502"/>
      <c r="AR42" s="50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row>
    <row r="43" spans="1:105" ht="12.6" customHeight="1" x14ac:dyDescent="0.2">
      <c r="A43" s="1020" t="s">
        <v>836</v>
      </c>
      <c r="B43" s="1021"/>
      <c r="C43" s="1021"/>
      <c r="D43" s="1021"/>
      <c r="E43" s="1021"/>
      <c r="F43" s="1021"/>
      <c r="G43" s="1021"/>
      <c r="H43" s="1021"/>
      <c r="I43" s="1021"/>
      <c r="J43" s="1021"/>
      <c r="K43" s="1021"/>
      <c r="L43" s="1021"/>
      <c r="M43" s="1021"/>
      <c r="N43" s="1021"/>
      <c r="O43" s="1021"/>
      <c r="P43" s="1021"/>
      <c r="Q43" s="1021"/>
      <c r="R43" s="1021"/>
      <c r="S43" s="1021"/>
      <c r="T43" s="1021"/>
      <c r="U43" s="1021"/>
      <c r="V43" s="1021"/>
      <c r="W43" s="1021"/>
      <c r="X43" s="1022"/>
      <c r="Y43" s="502"/>
      <c r="Z43" s="502"/>
      <c r="AA43" s="502"/>
      <c r="AB43" s="502"/>
      <c r="AC43" s="502"/>
      <c r="AD43" s="502"/>
      <c r="AE43" s="502"/>
      <c r="AF43" s="502"/>
      <c r="AG43" s="502"/>
      <c r="AH43" s="502"/>
      <c r="AI43" s="502"/>
      <c r="AJ43" s="502"/>
      <c r="AK43" s="502"/>
      <c r="AL43" s="502"/>
      <c r="AM43" s="502"/>
      <c r="AN43" s="502"/>
      <c r="AO43" s="502"/>
      <c r="AP43" s="502"/>
      <c r="AQ43" s="502"/>
      <c r="AR43" s="50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row>
    <row r="44" spans="1:105" ht="12.6" customHeight="1" thickBot="1" x14ac:dyDescent="0.25">
      <c r="A44" s="1023" t="s">
        <v>837</v>
      </c>
      <c r="B44" s="1024"/>
      <c r="C44" s="1024"/>
      <c r="D44" s="1024"/>
      <c r="E44" s="1024"/>
      <c r="F44" s="1024"/>
      <c r="G44" s="1024"/>
      <c r="H44" s="1024"/>
      <c r="I44" s="1024"/>
      <c r="J44" s="1024"/>
      <c r="K44" s="1024"/>
      <c r="L44" s="1024"/>
      <c r="M44" s="1024"/>
      <c r="N44" s="1024"/>
      <c r="O44" s="1024"/>
      <c r="P44" s="1024"/>
      <c r="Q44" s="1024"/>
      <c r="R44" s="1025"/>
      <c r="S44" s="1025"/>
      <c r="T44" s="1025"/>
      <c r="U44" s="1025"/>
      <c r="V44" s="1025"/>
      <c r="W44" s="1024"/>
      <c r="X44" s="1026"/>
      <c r="Y44" s="502"/>
      <c r="Z44" s="502"/>
      <c r="AA44" s="502"/>
      <c r="AB44" s="502"/>
      <c r="AC44" s="502"/>
      <c r="AD44" s="502"/>
      <c r="AE44" s="502"/>
      <c r="AF44" s="502"/>
      <c r="AG44" s="502"/>
      <c r="AH44" s="502"/>
      <c r="AI44" s="502"/>
      <c r="AJ44" s="502"/>
      <c r="AK44" s="502"/>
      <c r="AL44" s="502"/>
      <c r="AM44" s="502"/>
      <c r="AN44" s="502"/>
      <c r="AO44" s="502"/>
      <c r="AP44" s="502"/>
      <c r="AQ44" s="502"/>
      <c r="AR44" s="50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row>
    <row r="45" spans="1:105" ht="12.6" customHeight="1" thickBot="1" x14ac:dyDescent="0.25">
      <c r="A45" s="998" t="s">
        <v>40</v>
      </c>
      <c r="B45" s="999"/>
      <c r="C45" s="999"/>
      <c r="D45" s="999"/>
      <c r="E45" s="999"/>
      <c r="F45" s="999"/>
      <c r="G45" s="999"/>
      <c r="H45" s="1000"/>
      <c r="I45" s="1000"/>
      <c r="J45" s="1000"/>
      <c r="K45" s="1000"/>
      <c r="L45" s="1000"/>
      <c r="M45" s="1001"/>
      <c r="N45" s="1001"/>
      <c r="O45" s="1001"/>
      <c r="P45" s="1001"/>
      <c r="Q45" s="1001"/>
      <c r="R45" s="1002" t="s">
        <v>834</v>
      </c>
      <c r="S45" s="1003"/>
      <c r="T45" s="1003"/>
      <c r="U45" s="1003"/>
      <c r="V45" s="1004"/>
      <c r="W45" s="1001"/>
      <c r="X45" s="1005"/>
      <c r="Y45" s="502"/>
      <c r="Z45" s="502"/>
      <c r="AA45" s="502"/>
      <c r="AB45" s="502"/>
      <c r="AC45" s="502"/>
      <c r="AD45" s="502"/>
      <c r="AE45" s="502"/>
      <c r="AF45" s="502"/>
      <c r="AG45" s="502"/>
      <c r="AH45" s="502"/>
      <c r="AI45" s="502"/>
      <c r="AJ45" s="502"/>
      <c r="AK45" s="502"/>
      <c r="AL45" s="502"/>
      <c r="AM45" s="502"/>
      <c r="AN45" s="502"/>
      <c r="AO45" s="502"/>
      <c r="AP45" s="502"/>
      <c r="AQ45" s="502"/>
      <c r="AR45" s="50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row>
    <row r="46" spans="1:105" ht="12.6" customHeight="1" x14ac:dyDescent="0.2">
      <c r="A46" s="938" t="s">
        <v>41</v>
      </c>
      <c r="B46" s="939"/>
      <c r="C46" s="939"/>
      <c r="D46" s="939"/>
      <c r="E46" s="939"/>
      <c r="F46" s="939"/>
      <c r="G46" s="939"/>
      <c r="H46" s="939"/>
      <c r="I46" s="939"/>
      <c r="J46" s="939"/>
      <c r="K46" s="1006"/>
      <c r="L46" s="1006"/>
      <c r="M46" s="663"/>
      <c r="N46" s="663"/>
      <c r="O46" s="663"/>
      <c r="P46" s="663"/>
      <c r="Q46" s="663"/>
      <c r="R46" s="1007" t="s">
        <v>833</v>
      </c>
      <c r="S46" s="1008"/>
      <c r="T46" s="1008" t="s">
        <v>832</v>
      </c>
      <c r="U46" s="1008"/>
      <c r="V46" s="1009"/>
      <c r="W46" s="663"/>
      <c r="X46" s="694"/>
      <c r="Y46" s="502"/>
      <c r="Z46" s="502"/>
      <c r="AA46" s="502"/>
      <c r="AB46" s="502"/>
      <c r="AC46" s="502"/>
      <c r="AD46" s="502"/>
      <c r="AE46" s="502"/>
      <c r="AF46" s="502"/>
      <c r="AG46" s="502"/>
      <c r="AH46" s="502"/>
      <c r="AI46" s="502"/>
      <c r="AJ46" s="502"/>
      <c r="AK46" s="502"/>
      <c r="AL46" s="502"/>
      <c r="AM46" s="502"/>
      <c r="AN46" s="502"/>
      <c r="AO46" s="502"/>
      <c r="AP46" s="502"/>
      <c r="AQ46" s="502"/>
      <c r="AR46" s="50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row>
    <row r="47" spans="1:105" ht="12.6" customHeight="1" x14ac:dyDescent="0.2">
      <c r="A47" s="938" t="s">
        <v>42</v>
      </c>
      <c r="B47" s="939"/>
      <c r="C47" s="939"/>
      <c r="D47" s="939"/>
      <c r="E47" s="939"/>
      <c r="F47" s="939"/>
      <c r="G47" s="939"/>
      <c r="H47" s="939"/>
      <c r="I47" s="939"/>
      <c r="J47" s="939"/>
      <c r="K47" s="996"/>
      <c r="L47" s="996"/>
      <c r="M47" s="664"/>
      <c r="N47" s="664"/>
      <c r="O47" s="664"/>
      <c r="P47" s="664"/>
      <c r="Q47" s="664"/>
      <c r="R47" s="1092" t="s">
        <v>838</v>
      </c>
      <c r="S47" s="1093"/>
      <c r="T47" s="1093" t="s">
        <v>839</v>
      </c>
      <c r="U47" s="1093"/>
      <c r="V47" s="1097"/>
      <c r="W47" s="664"/>
      <c r="X47" s="695"/>
      <c r="Y47" s="502"/>
      <c r="Z47" s="502"/>
      <c r="AA47" s="502"/>
      <c r="AB47" s="502"/>
      <c r="AC47" s="502"/>
      <c r="AD47" s="502"/>
      <c r="AE47" s="502"/>
      <c r="AF47" s="502"/>
      <c r="AG47" s="502"/>
      <c r="AH47" s="502"/>
      <c r="AI47" s="502"/>
      <c r="AJ47" s="502"/>
      <c r="AK47" s="502"/>
      <c r="AL47" s="502"/>
      <c r="AM47" s="502"/>
      <c r="AN47" s="502"/>
      <c r="AO47" s="502"/>
      <c r="AP47" s="502"/>
      <c r="AQ47" s="502"/>
      <c r="AR47" s="50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row>
    <row r="48" spans="1:105" ht="12.6" customHeight="1" x14ac:dyDescent="0.2">
      <c r="A48" s="938" t="s">
        <v>43</v>
      </c>
      <c r="B48" s="939"/>
      <c r="C48" s="939"/>
      <c r="D48" s="939"/>
      <c r="E48" s="939"/>
      <c r="F48" s="939"/>
      <c r="G48" s="939"/>
      <c r="H48" s="996"/>
      <c r="I48" s="996"/>
      <c r="J48" s="664"/>
      <c r="K48" s="664"/>
      <c r="L48" s="664"/>
      <c r="M48" s="664"/>
      <c r="N48" s="664"/>
      <c r="O48" s="664"/>
      <c r="P48" s="664"/>
      <c r="Q48" s="664"/>
      <c r="R48" s="1092" t="s">
        <v>835</v>
      </c>
      <c r="S48" s="1094"/>
      <c r="T48" s="1093" t="s">
        <v>835</v>
      </c>
      <c r="U48" s="1093"/>
      <c r="V48" s="1097"/>
      <c r="W48" s="664"/>
      <c r="X48" s="695"/>
      <c r="Y48" s="502"/>
      <c r="Z48" s="502"/>
      <c r="AA48" s="502"/>
      <c r="AB48" s="502"/>
      <c r="AC48" s="502"/>
      <c r="AD48" s="502"/>
      <c r="AE48" s="502"/>
      <c r="AF48" s="502"/>
      <c r="AG48" s="502"/>
      <c r="AH48" s="502"/>
      <c r="AI48" s="502"/>
      <c r="AJ48" s="502"/>
      <c r="AK48" s="502"/>
      <c r="AL48" s="502"/>
      <c r="AM48" s="502"/>
      <c r="AN48" s="502"/>
      <c r="AO48" s="502"/>
      <c r="AP48" s="502"/>
      <c r="AQ48" s="502"/>
      <c r="AR48" s="50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row>
    <row r="49" spans="1:105" ht="12.6" customHeight="1" thickBot="1" x14ac:dyDescent="0.25">
      <c r="A49" s="938" t="s">
        <v>44</v>
      </c>
      <c r="B49" s="939"/>
      <c r="C49" s="939"/>
      <c r="D49" s="939"/>
      <c r="E49" s="939"/>
      <c r="F49" s="939"/>
      <c r="G49" s="997"/>
      <c r="H49" s="997"/>
      <c r="I49" s="997"/>
      <c r="J49" s="997"/>
      <c r="K49" s="665"/>
      <c r="L49" s="665"/>
      <c r="M49" s="665"/>
      <c r="N49" s="665"/>
      <c r="O49" s="665"/>
      <c r="P49" s="665"/>
      <c r="Q49" s="665"/>
      <c r="R49" s="1095"/>
      <c r="S49" s="1096"/>
      <c r="T49" s="1096"/>
      <c r="U49" s="1096"/>
      <c r="V49" s="1098"/>
      <c r="W49" s="665"/>
      <c r="X49" s="696"/>
      <c r="Y49" s="502"/>
      <c r="Z49" s="502"/>
      <c r="AA49" s="502"/>
      <c r="AB49" s="502"/>
      <c r="AC49" s="502"/>
      <c r="AD49" s="502"/>
      <c r="AE49" s="502"/>
      <c r="AF49" s="502"/>
      <c r="AG49" s="502"/>
      <c r="AH49" s="502"/>
      <c r="AI49" s="502"/>
      <c r="AJ49" s="502"/>
      <c r="AK49" s="502"/>
      <c r="AL49" s="502"/>
      <c r="AM49" s="502"/>
      <c r="AN49" s="502"/>
      <c r="AO49" s="502"/>
      <c r="AP49" s="502"/>
      <c r="AQ49" s="502"/>
      <c r="AR49" s="50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row>
    <row r="50" spans="1:105" ht="12.6" customHeight="1" x14ac:dyDescent="0.2">
      <c r="A50" s="938" t="s">
        <v>45</v>
      </c>
      <c r="B50" s="939"/>
      <c r="C50" s="939"/>
      <c r="D50" s="939"/>
      <c r="E50" s="939"/>
      <c r="F50" s="939"/>
      <c r="G50" s="985"/>
      <c r="H50" s="985"/>
      <c r="I50" s="985"/>
      <c r="J50" s="985"/>
      <c r="K50" s="985"/>
      <c r="L50" s="985"/>
      <c r="M50" s="985"/>
      <c r="N50" s="985"/>
      <c r="O50" s="985"/>
      <c r="P50" s="985"/>
      <c r="Q50" s="985"/>
      <c r="R50" s="985"/>
      <c r="S50" s="985"/>
      <c r="T50" s="985"/>
      <c r="U50" s="985"/>
      <c r="V50" s="985"/>
      <c r="W50" s="985"/>
      <c r="X50" s="986"/>
      <c r="Y50" s="502"/>
      <c r="Z50" s="502"/>
      <c r="AA50" s="502"/>
      <c r="AB50" s="502"/>
      <c r="AC50" s="502"/>
      <c r="AD50" s="502"/>
      <c r="AE50" s="502"/>
      <c r="AF50" s="502"/>
      <c r="AG50" s="502"/>
      <c r="AH50" s="502"/>
      <c r="AI50" s="502"/>
      <c r="AJ50" s="502"/>
      <c r="AK50" s="502"/>
      <c r="AL50" s="502"/>
      <c r="AM50" s="502"/>
      <c r="AN50" s="502"/>
      <c r="AO50" s="502"/>
      <c r="AP50" s="502"/>
      <c r="AQ50" s="502"/>
      <c r="AR50" s="50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row>
    <row r="51" spans="1:105" ht="6" customHeight="1" thickBot="1" x14ac:dyDescent="0.25">
      <c r="A51" s="640"/>
      <c r="B51" s="638"/>
      <c r="C51" s="638"/>
      <c r="D51" s="638"/>
      <c r="E51" s="638"/>
      <c r="F51" s="638"/>
      <c r="G51" s="641"/>
      <c r="H51" s="641"/>
      <c r="I51" s="641"/>
      <c r="J51" s="641"/>
      <c r="K51" s="641"/>
      <c r="L51" s="641"/>
      <c r="M51" s="641"/>
      <c r="N51" s="641"/>
      <c r="O51" s="641"/>
      <c r="P51" s="641"/>
      <c r="Q51" s="641"/>
      <c r="R51" s="641"/>
      <c r="S51" s="641"/>
      <c r="T51" s="641"/>
      <c r="U51" s="641"/>
      <c r="V51" s="641"/>
      <c r="W51" s="641"/>
      <c r="X51" s="697"/>
      <c r="Y51" s="502"/>
      <c r="Z51" s="502"/>
      <c r="AA51" s="502"/>
      <c r="AB51" s="502"/>
      <c r="AC51" s="502"/>
      <c r="AD51" s="502"/>
      <c r="AE51" s="502"/>
      <c r="AF51" s="502"/>
      <c r="AG51" s="502"/>
      <c r="AH51" s="502"/>
      <c r="AI51" s="502"/>
      <c r="AJ51" s="502"/>
      <c r="AK51" s="502"/>
      <c r="AL51" s="502"/>
      <c r="AM51" s="502"/>
      <c r="AN51" s="502"/>
      <c r="AO51" s="502"/>
      <c r="AP51" s="502"/>
      <c r="AQ51" s="502"/>
      <c r="AR51" s="50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row>
    <row r="52" spans="1:105" ht="12.6" customHeight="1" thickBot="1" x14ac:dyDescent="0.25">
      <c r="A52" s="987" t="s">
        <v>784</v>
      </c>
      <c r="B52" s="988"/>
      <c r="C52" s="988"/>
      <c r="D52" s="988"/>
      <c r="E52" s="988"/>
      <c r="F52" s="988"/>
      <c r="G52" s="988"/>
      <c r="H52" s="988"/>
      <c r="I52" s="988"/>
      <c r="J52" s="988"/>
      <c r="K52" s="988"/>
      <c r="L52" s="988"/>
      <c r="M52" s="988"/>
      <c r="N52" s="988"/>
      <c r="O52" s="988"/>
      <c r="P52" s="988"/>
      <c r="Q52" s="988"/>
      <c r="R52" s="988"/>
      <c r="S52" s="988"/>
      <c r="T52" s="988"/>
      <c r="U52" s="988"/>
      <c r="V52" s="988"/>
      <c r="W52" s="988"/>
      <c r="X52" s="989"/>
      <c r="Y52" s="502"/>
      <c r="Z52" s="502"/>
      <c r="AA52" s="502"/>
      <c r="AB52" s="502"/>
      <c r="AC52" s="502"/>
      <c r="AD52" s="502"/>
      <c r="AE52" s="502"/>
      <c r="AF52" s="502"/>
      <c r="AG52" s="502"/>
      <c r="AH52" s="502"/>
      <c r="AI52" s="502"/>
      <c r="AJ52" s="502"/>
      <c r="AK52" s="502"/>
      <c r="AL52" s="502"/>
      <c r="AM52" s="502"/>
      <c r="AN52" s="502"/>
      <c r="AO52" s="502"/>
      <c r="AP52" s="502"/>
      <c r="AQ52" s="502"/>
      <c r="AR52" s="50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row>
    <row r="53" spans="1:105" ht="12.6" customHeight="1" x14ac:dyDescent="0.2">
      <c r="A53" s="990" t="s">
        <v>822</v>
      </c>
      <c r="B53" s="991"/>
      <c r="C53" s="991"/>
      <c r="D53" s="991"/>
      <c r="E53" s="991"/>
      <c r="F53" s="991"/>
      <c r="G53" s="991"/>
      <c r="H53" s="991"/>
      <c r="I53" s="991"/>
      <c r="J53" s="991"/>
      <c r="K53" s="991"/>
      <c r="L53" s="991"/>
      <c r="M53" s="992" t="s">
        <v>823</v>
      </c>
      <c r="N53" s="992"/>
      <c r="O53" s="992"/>
      <c r="P53" s="992"/>
      <c r="Q53" s="992"/>
      <c r="R53" s="992"/>
      <c r="S53" s="992"/>
      <c r="T53" s="992"/>
      <c r="U53" s="992"/>
      <c r="V53" s="992"/>
      <c r="W53" s="992"/>
      <c r="X53" s="99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row>
    <row r="54" spans="1:105" ht="12.6" customHeight="1" x14ac:dyDescent="0.2">
      <c r="A54" s="698" t="s">
        <v>824</v>
      </c>
      <c r="B54" s="642"/>
      <c r="C54" s="642"/>
      <c r="D54" s="643"/>
      <c r="E54" s="643"/>
      <c r="F54" s="643"/>
      <c r="G54" s="643"/>
      <c r="H54" s="643"/>
      <c r="I54" s="643"/>
      <c r="J54" s="643"/>
      <c r="K54" s="643"/>
      <c r="L54" s="644"/>
      <c r="M54" s="642" t="s">
        <v>825</v>
      </c>
      <c r="N54" s="642"/>
      <c r="O54" s="642"/>
      <c r="P54" s="644"/>
      <c r="Q54" s="643"/>
      <c r="R54" s="643"/>
      <c r="S54" s="643"/>
      <c r="T54" s="643"/>
      <c r="U54" s="643"/>
      <c r="V54" s="643"/>
      <c r="W54" s="643"/>
      <c r="X54" s="699"/>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row>
    <row r="55" spans="1:105" ht="12.6" customHeight="1" x14ac:dyDescent="0.2">
      <c r="A55" s="700" t="s">
        <v>826</v>
      </c>
      <c r="B55" s="645"/>
      <c r="C55" s="645"/>
      <c r="D55" s="645"/>
      <c r="E55" s="645"/>
      <c r="F55" s="645"/>
      <c r="G55" s="645"/>
      <c r="H55" s="645"/>
      <c r="I55" s="645"/>
      <c r="J55" s="645"/>
      <c r="K55" s="645"/>
      <c r="L55" s="646"/>
      <c r="M55" s="994" t="s">
        <v>826</v>
      </c>
      <c r="N55" s="994"/>
      <c r="O55" s="994"/>
      <c r="P55" s="994"/>
      <c r="Q55" s="994"/>
      <c r="R55" s="994"/>
      <c r="S55" s="994"/>
      <c r="T55" s="994"/>
      <c r="U55" s="994"/>
      <c r="V55" s="994"/>
      <c r="W55" s="994"/>
      <c r="X55" s="995"/>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row>
    <row r="56" spans="1:105" ht="12.6" customHeight="1" x14ac:dyDescent="0.2">
      <c r="A56" s="972" t="s">
        <v>40</v>
      </c>
      <c r="B56" s="973"/>
      <c r="C56" s="973"/>
      <c r="D56" s="973"/>
      <c r="E56" s="973"/>
      <c r="F56" s="973"/>
      <c r="G56" s="973"/>
      <c r="H56" s="983"/>
      <c r="I56" s="983"/>
      <c r="J56" s="983"/>
      <c r="K56" s="983"/>
      <c r="L56" s="983"/>
      <c r="M56" s="975" t="s">
        <v>40</v>
      </c>
      <c r="N56" s="975"/>
      <c r="O56" s="975"/>
      <c r="P56" s="975"/>
      <c r="Q56" s="975"/>
      <c r="R56" s="975"/>
      <c r="S56" s="975"/>
      <c r="T56" s="976"/>
      <c r="U56" s="976"/>
      <c r="V56" s="976"/>
      <c r="W56" s="976"/>
      <c r="X56" s="977"/>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row>
    <row r="57" spans="1:105" ht="12.6" customHeight="1" x14ac:dyDescent="0.2">
      <c r="A57" s="949" t="s">
        <v>41</v>
      </c>
      <c r="B57" s="950"/>
      <c r="C57" s="950"/>
      <c r="D57" s="950"/>
      <c r="E57" s="950"/>
      <c r="F57" s="950"/>
      <c r="G57" s="950"/>
      <c r="H57" s="950"/>
      <c r="I57" s="950"/>
      <c r="J57" s="950"/>
      <c r="K57" s="984"/>
      <c r="L57" s="984"/>
      <c r="M57" s="952" t="s">
        <v>41</v>
      </c>
      <c r="N57" s="952"/>
      <c r="O57" s="952"/>
      <c r="P57" s="952"/>
      <c r="Q57" s="952"/>
      <c r="R57" s="952"/>
      <c r="S57" s="952"/>
      <c r="T57" s="952"/>
      <c r="U57" s="952"/>
      <c r="V57" s="952"/>
      <c r="W57" s="966"/>
      <c r="X57" s="967"/>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row>
    <row r="58" spans="1:105" ht="12.6" customHeight="1" x14ac:dyDescent="0.2">
      <c r="A58" s="949" t="s">
        <v>42</v>
      </c>
      <c r="B58" s="950"/>
      <c r="C58" s="950"/>
      <c r="D58" s="950"/>
      <c r="E58" s="950"/>
      <c r="F58" s="950"/>
      <c r="G58" s="950"/>
      <c r="H58" s="950"/>
      <c r="I58" s="950"/>
      <c r="J58" s="950"/>
      <c r="K58" s="982"/>
      <c r="L58" s="982"/>
      <c r="M58" s="952" t="s">
        <v>42</v>
      </c>
      <c r="N58" s="952"/>
      <c r="O58" s="952"/>
      <c r="P58" s="952"/>
      <c r="Q58" s="952"/>
      <c r="R58" s="952"/>
      <c r="S58" s="952"/>
      <c r="T58" s="952"/>
      <c r="U58" s="952"/>
      <c r="V58" s="952"/>
      <c r="W58" s="960"/>
      <c r="X58" s="961"/>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row>
    <row r="59" spans="1:105" ht="12.6" customHeight="1" x14ac:dyDescent="0.2">
      <c r="A59" s="949" t="s">
        <v>43</v>
      </c>
      <c r="B59" s="950"/>
      <c r="C59" s="950"/>
      <c r="D59" s="950"/>
      <c r="E59" s="950"/>
      <c r="F59" s="950"/>
      <c r="G59" s="950"/>
      <c r="H59" s="982"/>
      <c r="I59" s="982"/>
      <c r="J59" s="982"/>
      <c r="K59" s="982"/>
      <c r="L59" s="982"/>
      <c r="M59" s="952" t="s">
        <v>43</v>
      </c>
      <c r="N59" s="952"/>
      <c r="O59" s="952"/>
      <c r="P59" s="952"/>
      <c r="Q59" s="952"/>
      <c r="R59" s="952"/>
      <c r="S59" s="952"/>
      <c r="T59" s="960"/>
      <c r="U59" s="960"/>
      <c r="V59" s="960"/>
      <c r="W59" s="960"/>
      <c r="X59" s="961"/>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row>
    <row r="60" spans="1:105" ht="12.6" customHeight="1" x14ac:dyDescent="0.2">
      <c r="A60" s="949" t="s">
        <v>44</v>
      </c>
      <c r="B60" s="950"/>
      <c r="C60" s="950"/>
      <c r="D60" s="950"/>
      <c r="E60" s="950"/>
      <c r="F60" s="950"/>
      <c r="G60" s="978"/>
      <c r="H60" s="978"/>
      <c r="I60" s="978"/>
      <c r="J60" s="978"/>
      <c r="K60" s="978"/>
      <c r="L60" s="978"/>
      <c r="M60" s="952" t="s">
        <v>44</v>
      </c>
      <c r="N60" s="952"/>
      <c r="O60" s="952"/>
      <c r="P60" s="952"/>
      <c r="Q60" s="952"/>
      <c r="R60" s="952"/>
      <c r="S60" s="979"/>
      <c r="T60" s="979"/>
      <c r="U60" s="979"/>
      <c r="V60" s="979"/>
      <c r="W60" s="979"/>
      <c r="X60" s="980"/>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row>
    <row r="61" spans="1:105" ht="12.6" customHeight="1" x14ac:dyDescent="0.2">
      <c r="A61" s="949" t="s">
        <v>45</v>
      </c>
      <c r="B61" s="950"/>
      <c r="C61" s="950"/>
      <c r="D61" s="950"/>
      <c r="E61" s="950"/>
      <c r="F61" s="950"/>
      <c r="G61" s="981"/>
      <c r="H61" s="981"/>
      <c r="I61" s="981"/>
      <c r="J61" s="981"/>
      <c r="K61" s="981"/>
      <c r="L61" s="981"/>
      <c r="M61" s="952" t="s">
        <v>45</v>
      </c>
      <c r="N61" s="952"/>
      <c r="O61" s="952"/>
      <c r="P61" s="952"/>
      <c r="Q61" s="952"/>
      <c r="R61" s="952"/>
      <c r="S61" s="953"/>
      <c r="T61" s="953"/>
      <c r="U61" s="953"/>
      <c r="V61" s="953"/>
      <c r="W61" s="953"/>
      <c r="X61" s="954"/>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row>
    <row r="62" spans="1:105" ht="12.6" customHeight="1" x14ac:dyDescent="0.2">
      <c r="A62" s="955"/>
      <c r="B62" s="956"/>
      <c r="C62" s="956"/>
      <c r="D62" s="956"/>
      <c r="E62" s="956"/>
      <c r="F62" s="956"/>
      <c r="G62" s="956"/>
      <c r="H62" s="956"/>
      <c r="I62" s="956"/>
      <c r="J62" s="956"/>
      <c r="K62" s="956"/>
      <c r="L62" s="956"/>
      <c r="M62" s="957"/>
      <c r="N62" s="957"/>
      <c r="O62" s="957"/>
      <c r="P62" s="957"/>
      <c r="Q62" s="957"/>
      <c r="R62" s="957"/>
      <c r="S62" s="957"/>
      <c r="T62" s="957"/>
      <c r="U62" s="957"/>
      <c r="V62" s="957"/>
      <c r="W62" s="957"/>
      <c r="X62" s="958"/>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row>
    <row r="63" spans="1:105" ht="12.6" customHeight="1" x14ac:dyDescent="0.2">
      <c r="A63" s="968" t="s">
        <v>827</v>
      </c>
      <c r="B63" s="969"/>
      <c r="C63" s="969"/>
      <c r="D63" s="969"/>
      <c r="E63" s="969"/>
      <c r="F63" s="969"/>
      <c r="G63" s="969"/>
      <c r="H63" s="969"/>
      <c r="I63" s="969"/>
      <c r="J63" s="969"/>
      <c r="K63" s="969"/>
      <c r="L63" s="969"/>
      <c r="M63" s="970" t="s">
        <v>827</v>
      </c>
      <c r="N63" s="970"/>
      <c r="O63" s="970"/>
      <c r="P63" s="970"/>
      <c r="Q63" s="970"/>
      <c r="R63" s="970"/>
      <c r="S63" s="970"/>
      <c r="T63" s="970"/>
      <c r="U63" s="970"/>
      <c r="V63" s="970"/>
      <c r="W63" s="970"/>
      <c r="X63" s="971"/>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row>
    <row r="64" spans="1:105" ht="12.6" customHeight="1" x14ac:dyDescent="0.2">
      <c r="A64" s="972" t="s">
        <v>40</v>
      </c>
      <c r="B64" s="973"/>
      <c r="C64" s="973"/>
      <c r="D64" s="973"/>
      <c r="E64" s="973"/>
      <c r="F64" s="973"/>
      <c r="G64" s="973"/>
      <c r="H64" s="974">
        <f>IF([1]MC2!B3="x",[1]NBR!N10,[1]IT!N10)</f>
        <v>0</v>
      </c>
      <c r="I64" s="974"/>
      <c r="J64" s="974"/>
      <c r="K64" s="974"/>
      <c r="L64" s="974"/>
      <c r="M64" s="975" t="s">
        <v>40</v>
      </c>
      <c r="N64" s="975"/>
      <c r="O64" s="975"/>
      <c r="P64" s="975"/>
      <c r="Q64" s="975"/>
      <c r="R64" s="975"/>
      <c r="S64" s="975"/>
      <c r="T64" s="976"/>
      <c r="U64" s="976"/>
      <c r="V64" s="976"/>
      <c r="W64" s="976"/>
      <c r="X64" s="977"/>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row>
    <row r="65" spans="1:105" ht="12.6" customHeight="1" x14ac:dyDescent="0.2">
      <c r="A65" s="949" t="s">
        <v>41</v>
      </c>
      <c r="B65" s="950"/>
      <c r="C65" s="950"/>
      <c r="D65" s="950"/>
      <c r="E65" s="950"/>
      <c r="F65" s="950"/>
      <c r="G65" s="950"/>
      <c r="H65" s="950"/>
      <c r="I65" s="950"/>
      <c r="J65" s="950"/>
      <c r="K65" s="965">
        <f>IF([1]MC2!B3="x",[1]NBR!L101,[1]IT!L100)</f>
        <v>400</v>
      </c>
      <c r="L65" s="965"/>
      <c r="M65" s="952" t="s">
        <v>41</v>
      </c>
      <c r="N65" s="952"/>
      <c r="O65" s="952"/>
      <c r="P65" s="952"/>
      <c r="Q65" s="952"/>
      <c r="R65" s="952"/>
      <c r="S65" s="952"/>
      <c r="T65" s="952"/>
      <c r="U65" s="952"/>
      <c r="V65" s="952"/>
      <c r="W65" s="966"/>
      <c r="X65" s="967"/>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row>
    <row r="66" spans="1:105" ht="12.6" customHeight="1" x14ac:dyDescent="0.2">
      <c r="A66" s="949" t="s">
        <v>42</v>
      </c>
      <c r="B66" s="950"/>
      <c r="C66" s="950"/>
      <c r="D66" s="950"/>
      <c r="E66" s="950"/>
      <c r="F66" s="950"/>
      <c r="G66" s="950"/>
      <c r="H66" s="950"/>
      <c r="I66" s="950"/>
      <c r="J66" s="950"/>
      <c r="K66" s="959" t="e">
        <f>IF([1]MC2!B3="x",[1]NBR!F112,[1]IT!F112)</f>
        <v>#VALUE!</v>
      </c>
      <c r="L66" s="959"/>
      <c r="M66" s="952" t="s">
        <v>42</v>
      </c>
      <c r="N66" s="952"/>
      <c r="O66" s="952"/>
      <c r="P66" s="952"/>
      <c r="Q66" s="952"/>
      <c r="R66" s="952"/>
      <c r="S66" s="952"/>
      <c r="T66" s="952"/>
      <c r="U66" s="952"/>
      <c r="V66" s="952"/>
      <c r="W66" s="960"/>
      <c r="X66" s="961"/>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row>
    <row r="67" spans="1:105" ht="12.6" customHeight="1" x14ac:dyDescent="0.2">
      <c r="A67" s="949" t="s">
        <v>43</v>
      </c>
      <c r="B67" s="950"/>
      <c r="C67" s="950"/>
      <c r="D67" s="950"/>
      <c r="E67" s="950"/>
      <c r="F67" s="950"/>
      <c r="G67" s="950"/>
      <c r="H67" s="959" t="str">
        <f>IF([1]MC2!B3="x",[1]NBR!F113,[1]IT!F113)</f>
        <v/>
      </c>
      <c r="I67" s="959"/>
      <c r="J67" s="959"/>
      <c r="K67" s="959"/>
      <c r="L67" s="959"/>
      <c r="M67" s="952" t="s">
        <v>43</v>
      </c>
      <c r="N67" s="952"/>
      <c r="O67" s="952"/>
      <c r="P67" s="952"/>
      <c r="Q67" s="952"/>
      <c r="R67" s="952"/>
      <c r="S67" s="952"/>
      <c r="T67" s="960"/>
      <c r="U67" s="960"/>
      <c r="V67" s="960"/>
      <c r="W67" s="960"/>
      <c r="X67" s="961"/>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row>
    <row r="68" spans="1:105" ht="12.6" customHeight="1" x14ac:dyDescent="0.2">
      <c r="A68" s="949" t="s">
        <v>44</v>
      </c>
      <c r="B68" s="950"/>
      <c r="C68" s="950"/>
      <c r="D68" s="950"/>
      <c r="E68" s="950"/>
      <c r="F68" s="950"/>
      <c r="G68" s="962" t="e">
        <f>IF([1]MC2!B3="x",[1]NBR!F115,[1]IT!F115)</f>
        <v>#DIV/0!</v>
      </c>
      <c r="H68" s="962"/>
      <c r="I68" s="962"/>
      <c r="J68" s="962"/>
      <c r="K68" s="962"/>
      <c r="L68" s="962"/>
      <c r="M68" s="952" t="s">
        <v>44</v>
      </c>
      <c r="N68" s="952"/>
      <c r="O68" s="952"/>
      <c r="P68" s="952"/>
      <c r="Q68" s="952"/>
      <c r="R68" s="952"/>
      <c r="S68" s="963"/>
      <c r="T68" s="963"/>
      <c r="U68" s="963"/>
      <c r="V68" s="963"/>
      <c r="W68" s="963"/>
      <c r="X68" s="964"/>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row>
    <row r="69" spans="1:105" ht="12.6" customHeight="1" x14ac:dyDescent="0.2">
      <c r="A69" s="949" t="s">
        <v>45</v>
      </c>
      <c r="B69" s="950"/>
      <c r="C69" s="950"/>
      <c r="D69" s="950"/>
      <c r="E69" s="950"/>
      <c r="F69" s="950"/>
      <c r="G69" s="951">
        <f>IF([1]MC2!B3="x",[1]NBR!F116,[1]IT!F116)</f>
        <v>0</v>
      </c>
      <c r="H69" s="951"/>
      <c r="I69" s="951"/>
      <c r="J69" s="951"/>
      <c r="K69" s="951"/>
      <c r="L69" s="951"/>
      <c r="M69" s="952" t="s">
        <v>45</v>
      </c>
      <c r="N69" s="952"/>
      <c r="O69" s="952"/>
      <c r="P69" s="952"/>
      <c r="Q69" s="952"/>
      <c r="R69" s="952"/>
      <c r="S69" s="953"/>
      <c r="T69" s="953"/>
      <c r="U69" s="953"/>
      <c r="V69" s="953"/>
      <c r="W69" s="953"/>
      <c r="X69" s="954"/>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row>
    <row r="70" spans="1:105" ht="12.6" customHeight="1" x14ac:dyDescent="0.2">
      <c r="A70" s="955"/>
      <c r="B70" s="956"/>
      <c r="C70" s="956"/>
      <c r="D70" s="956"/>
      <c r="E70" s="956"/>
      <c r="F70" s="956"/>
      <c r="G70" s="956"/>
      <c r="H70" s="956"/>
      <c r="I70" s="956"/>
      <c r="J70" s="956"/>
      <c r="K70" s="956"/>
      <c r="L70" s="956"/>
      <c r="M70" s="957"/>
      <c r="N70" s="957"/>
      <c r="O70" s="957"/>
      <c r="P70" s="957"/>
      <c r="Q70" s="957"/>
      <c r="R70" s="957"/>
      <c r="S70" s="957"/>
      <c r="T70" s="957"/>
      <c r="U70" s="957"/>
      <c r="V70" s="957"/>
      <c r="W70" s="957"/>
      <c r="X70" s="958"/>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row>
    <row r="71" spans="1:105" ht="12.6" customHeight="1" x14ac:dyDescent="0.2">
      <c r="A71" s="942" t="s">
        <v>46</v>
      </c>
      <c r="B71" s="943"/>
      <c r="C71" s="943"/>
      <c r="D71" s="943"/>
      <c r="E71" s="943"/>
      <c r="F71" s="943"/>
      <c r="G71" s="943"/>
      <c r="H71" s="943"/>
      <c r="I71" s="943"/>
      <c r="J71" s="943"/>
      <c r="K71" s="943"/>
      <c r="L71" s="943"/>
      <c r="M71" s="943"/>
      <c r="N71" s="943"/>
      <c r="O71" s="943"/>
      <c r="P71" s="943"/>
      <c r="Q71" s="943"/>
      <c r="R71" s="943"/>
      <c r="S71" s="943"/>
      <c r="T71" s="943"/>
      <c r="U71" s="943"/>
      <c r="V71" s="943"/>
      <c r="W71" s="943"/>
      <c r="X71" s="944"/>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row>
    <row r="72" spans="1:105" ht="12.6" customHeight="1" thickBot="1" x14ac:dyDescent="0.25">
      <c r="A72" s="942"/>
      <c r="B72" s="943"/>
      <c r="C72" s="943"/>
      <c r="D72" s="943"/>
      <c r="E72" s="943"/>
      <c r="F72" s="943"/>
      <c r="G72" s="943"/>
      <c r="H72" s="943"/>
      <c r="I72" s="943"/>
      <c r="J72" s="943"/>
      <c r="K72" s="943"/>
      <c r="L72" s="943"/>
      <c r="M72" s="943"/>
      <c r="N72" s="943"/>
      <c r="O72" s="943"/>
      <c r="P72" s="943"/>
      <c r="Q72" s="943"/>
      <c r="R72" s="943"/>
      <c r="S72" s="943"/>
      <c r="T72" s="943"/>
      <c r="U72" s="943"/>
      <c r="V72" s="943"/>
      <c r="W72" s="943"/>
      <c r="X72" s="944"/>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row>
    <row r="73" spans="1:105" ht="12.6" customHeight="1" thickBot="1" x14ac:dyDescent="0.25">
      <c r="A73" s="945" t="s">
        <v>828</v>
      </c>
      <c r="B73" s="946"/>
      <c r="C73" s="946"/>
      <c r="D73" s="946"/>
      <c r="E73" s="946"/>
      <c r="F73" s="946"/>
      <c r="G73" s="946"/>
      <c r="H73" s="946"/>
      <c r="I73" s="946"/>
      <c r="J73" s="946"/>
      <c r="K73" s="946"/>
      <c r="L73" s="946"/>
      <c r="M73" s="946"/>
      <c r="N73" s="946"/>
      <c r="O73" s="946"/>
      <c r="P73" s="946"/>
      <c r="Q73" s="946"/>
      <c r="R73" s="946"/>
      <c r="S73" s="946"/>
      <c r="T73" s="946"/>
      <c r="U73" s="946"/>
      <c r="V73" s="946"/>
      <c r="W73" s="947"/>
      <c r="X73" s="948"/>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row>
    <row r="74" spans="1:105" ht="12.6"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row>
    <row r="75" spans="1:105" ht="12.6" customHeight="1" x14ac:dyDescent="0.2">
      <c r="A75" s="23"/>
      <c r="B75" s="23"/>
      <c r="C75" s="23"/>
      <c r="D75" s="23"/>
      <c r="E75" s="23"/>
      <c r="F75" s="23"/>
      <c r="G75" s="23"/>
      <c r="H75" s="23"/>
      <c r="I75" s="23"/>
      <c r="J75" s="23"/>
      <c r="K75" s="23"/>
      <c r="L75" s="23"/>
      <c r="M75" s="23"/>
      <c r="N75" s="23"/>
      <c r="O75" s="23"/>
      <c r="P75" s="23"/>
      <c r="Q75" s="23"/>
      <c r="R75" s="23"/>
      <c r="S75" s="23"/>
      <c r="T75" s="23"/>
      <c r="U75" s="23"/>
      <c r="V75" s="647"/>
      <c r="W75" s="23"/>
      <c r="X75" s="648"/>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row>
    <row r="76" spans="1:105" ht="12.6"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row>
    <row r="77" spans="1:105" x14ac:dyDescent="0.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row>
    <row r="78" spans="1:10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row>
    <row r="79" spans="1:10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row>
    <row r="80" spans="1:10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row>
    <row r="81" spans="1:10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row>
    <row r="82" spans="1:10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row>
    <row r="83" spans="1:10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row>
    <row r="84" spans="1:10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row>
    <row r="85" spans="1:10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row>
    <row r="86" spans="1:10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row>
    <row r="87" spans="1:10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row>
    <row r="88" spans="1:10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row>
    <row r="89" spans="1:10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row>
    <row r="90" spans="1:10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row>
    <row r="91" spans="1:10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row>
    <row r="92" spans="1:10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row>
    <row r="93" spans="1:10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row>
    <row r="94" spans="1:10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row>
    <row r="95" spans="1:10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row>
    <row r="96" spans="1:10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row>
    <row r="97" spans="1:10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row>
    <row r="98" spans="1:10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row>
    <row r="99" spans="1:10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row>
    <row r="100" spans="1:10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row>
    <row r="101" spans="1:10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row>
    <row r="102" spans="1:10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row>
    <row r="103" spans="1:10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row>
    <row r="104" spans="1:10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row>
    <row r="105" spans="1:10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row>
    <row r="106" spans="1:10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row>
    <row r="107" spans="1:10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row>
    <row r="108" spans="1:10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row>
    <row r="109" spans="1:10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row>
    <row r="110" spans="1:10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row>
    <row r="111" spans="1:10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row>
    <row r="112" spans="1:10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row>
    <row r="113" spans="1:10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row>
    <row r="114" spans="1:10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row>
    <row r="115" spans="1:10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row>
    <row r="116" spans="1:10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row>
    <row r="117" spans="1:10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row>
    <row r="118" spans="1:10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row>
    <row r="119" spans="1:10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row>
    <row r="120" spans="1:10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row>
    <row r="121" spans="1:10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row>
    <row r="122" spans="1:10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row>
    <row r="123" spans="1:10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row>
    <row r="124" spans="1:10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row>
    <row r="125" spans="1:10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row>
    <row r="126" spans="1:10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row>
    <row r="127" spans="1:10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row>
    <row r="128" spans="1:10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row>
    <row r="129" spans="1:10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row>
    <row r="130" spans="1:10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row>
    <row r="131" spans="1:10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row>
    <row r="132" spans="1:10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row>
    <row r="133" spans="1:10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row>
    <row r="134" spans="1:10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row>
    <row r="135" spans="1:10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row>
    <row r="136" spans="1:10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row>
    <row r="137" spans="1:10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row>
    <row r="138" spans="1:10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row>
    <row r="139" spans="1:10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row>
    <row r="140" spans="1:10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row>
    <row r="141" spans="1:10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row>
    <row r="142" spans="1:10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row>
    <row r="143" spans="1:10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row>
    <row r="144" spans="1:10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row>
    <row r="145" spans="1:69"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row>
    <row r="146" spans="1:69"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row>
    <row r="147" spans="1:69"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row>
    <row r="148" spans="1:69"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row>
  </sheetData>
  <sheetProtection selectLockedCells="1" selectUnlockedCells="1"/>
  <mergeCells count="160">
    <mergeCell ref="R47:S47"/>
    <mergeCell ref="R48:S48"/>
    <mergeCell ref="R49:S49"/>
    <mergeCell ref="T47:V47"/>
    <mergeCell ref="T48:V48"/>
    <mergeCell ref="T49:V49"/>
    <mergeCell ref="A5:F5"/>
    <mergeCell ref="G5:S5"/>
    <mergeCell ref="T5:X5"/>
    <mergeCell ref="A6:X6"/>
    <mergeCell ref="I2:R2"/>
    <mergeCell ref="A7:E7"/>
    <mergeCell ref="F7:X7"/>
    <mergeCell ref="A8:D8"/>
    <mergeCell ref="B9:C9"/>
    <mergeCell ref="A10:D10"/>
    <mergeCell ref="A11:F11"/>
    <mergeCell ref="V11:X11"/>
    <mergeCell ref="R10:W10"/>
    <mergeCell ref="A12:G12"/>
    <mergeCell ref="H12:K12"/>
    <mergeCell ref="A13:S13"/>
    <mergeCell ref="A14:X14"/>
    <mergeCell ref="A16:G16"/>
    <mergeCell ref="I16:J16"/>
    <mergeCell ref="A19:G20"/>
    <mergeCell ref="K19:M19"/>
    <mergeCell ref="N19:Q19"/>
    <mergeCell ref="K20:M20"/>
    <mergeCell ref="N20:Q20"/>
    <mergeCell ref="W20:X20"/>
    <mergeCell ref="I23:K23"/>
    <mergeCell ref="N24:Q24"/>
    <mergeCell ref="R24:S24"/>
    <mergeCell ref="W24:X24"/>
    <mergeCell ref="J26:O26"/>
    <mergeCell ref="W26:X26"/>
    <mergeCell ref="R23:S23"/>
    <mergeCell ref="A27:W27"/>
    <mergeCell ref="D28:H28"/>
    <mergeCell ref="K28:L28"/>
    <mergeCell ref="P28:Q28"/>
    <mergeCell ref="U28:V28"/>
    <mergeCell ref="A29:X29"/>
    <mergeCell ref="A31:F31"/>
    <mergeCell ref="I31:K31"/>
    <mergeCell ref="N31:Q31"/>
    <mergeCell ref="U31:V31"/>
    <mergeCell ref="A32:K32"/>
    <mergeCell ref="L32:X32"/>
    <mergeCell ref="A33:F33"/>
    <mergeCell ref="G33:I33"/>
    <mergeCell ref="J33:L33"/>
    <mergeCell ref="M33:U33"/>
    <mergeCell ref="V33:X33"/>
    <mergeCell ref="A34:X34"/>
    <mergeCell ref="A35:L35"/>
    <mergeCell ref="M35:X35"/>
    <mergeCell ref="A36:H36"/>
    <mergeCell ref="I36:M36"/>
    <mergeCell ref="N36:T36"/>
    <mergeCell ref="U36:X36"/>
    <mergeCell ref="A37:K37"/>
    <mergeCell ref="L37:M37"/>
    <mergeCell ref="N37:T37"/>
    <mergeCell ref="U37:X37"/>
    <mergeCell ref="A38:K38"/>
    <mergeCell ref="L38:M38"/>
    <mergeCell ref="N38:S38"/>
    <mergeCell ref="T38:W38"/>
    <mergeCell ref="A39:H39"/>
    <mergeCell ref="I39:J39"/>
    <mergeCell ref="K39:L39"/>
    <mergeCell ref="N39:R39"/>
    <mergeCell ref="S39:T39"/>
    <mergeCell ref="U39:W39"/>
    <mergeCell ref="A40:X40"/>
    <mergeCell ref="A41:L41"/>
    <mergeCell ref="M41:X41"/>
    <mergeCell ref="A42:X42"/>
    <mergeCell ref="A43:X43"/>
    <mergeCell ref="A44:X44"/>
    <mergeCell ref="A45:G45"/>
    <mergeCell ref="H45:L45"/>
    <mergeCell ref="M45:Q45"/>
    <mergeCell ref="R45:V45"/>
    <mergeCell ref="W45:X45"/>
    <mergeCell ref="A46:J46"/>
    <mergeCell ref="K46:L46"/>
    <mergeCell ref="R46:S46"/>
    <mergeCell ref="T46:V46"/>
    <mergeCell ref="A47:J47"/>
    <mergeCell ref="A48:G48"/>
    <mergeCell ref="A49:F49"/>
    <mergeCell ref="K47:L47"/>
    <mergeCell ref="H48:I48"/>
    <mergeCell ref="G49:J49"/>
    <mergeCell ref="A50:F50"/>
    <mergeCell ref="G50:X50"/>
    <mergeCell ref="A52:X52"/>
    <mergeCell ref="A53:L53"/>
    <mergeCell ref="M53:X53"/>
    <mergeCell ref="M55:X55"/>
    <mergeCell ref="A56:G56"/>
    <mergeCell ref="H56:L56"/>
    <mergeCell ref="M56:S56"/>
    <mergeCell ref="T56:X56"/>
    <mergeCell ref="A57:J57"/>
    <mergeCell ref="K57:L57"/>
    <mergeCell ref="M57:V57"/>
    <mergeCell ref="W57:X57"/>
    <mergeCell ref="A58:J58"/>
    <mergeCell ref="K58:L58"/>
    <mergeCell ref="M58:V58"/>
    <mergeCell ref="W58:X58"/>
    <mergeCell ref="A59:G59"/>
    <mergeCell ref="H59:L59"/>
    <mergeCell ref="M59:S59"/>
    <mergeCell ref="T59:X59"/>
    <mergeCell ref="A60:F60"/>
    <mergeCell ref="G60:L60"/>
    <mergeCell ref="M60:R60"/>
    <mergeCell ref="S60:X60"/>
    <mergeCell ref="A61:F61"/>
    <mergeCell ref="G61:L61"/>
    <mergeCell ref="M61:R61"/>
    <mergeCell ref="S61:X61"/>
    <mergeCell ref="A62:L62"/>
    <mergeCell ref="M62:X62"/>
    <mergeCell ref="A63:L63"/>
    <mergeCell ref="M63:X63"/>
    <mergeCell ref="A64:G64"/>
    <mergeCell ref="H64:L64"/>
    <mergeCell ref="M64:S64"/>
    <mergeCell ref="T64:X64"/>
    <mergeCell ref="A65:J65"/>
    <mergeCell ref="K65:L65"/>
    <mergeCell ref="M65:V65"/>
    <mergeCell ref="W65:X65"/>
    <mergeCell ref="A66:J66"/>
    <mergeCell ref="K66:L66"/>
    <mergeCell ref="M66:V66"/>
    <mergeCell ref="W66:X66"/>
    <mergeCell ref="A67:G67"/>
    <mergeCell ref="H67:L67"/>
    <mergeCell ref="M67:S67"/>
    <mergeCell ref="T67:X67"/>
    <mergeCell ref="A68:F68"/>
    <mergeCell ref="G68:L68"/>
    <mergeCell ref="M68:R68"/>
    <mergeCell ref="S68:X68"/>
    <mergeCell ref="A71:X72"/>
    <mergeCell ref="A73:V73"/>
    <mergeCell ref="W73:X73"/>
    <mergeCell ref="A69:F69"/>
    <mergeCell ref="G69:L69"/>
    <mergeCell ref="M69:R69"/>
    <mergeCell ref="S69:X69"/>
    <mergeCell ref="A70:L70"/>
    <mergeCell ref="M70:X70"/>
  </mergeCells>
  <printOptions horizontalCentered="1"/>
  <pageMargins left="0.19685039370078741" right="7.874015748031496E-2" top="0.19685039370078741" bottom="0.39370078740157483" header="0.51181102362204722" footer="0.51181102362204722"/>
  <pageSetup paperSize="9"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0"/>
  <sheetViews>
    <sheetView tabSelected="1" zoomScale="145" zoomScaleNormal="145" workbookViewId="0">
      <selection activeCell="AE11" sqref="AE11"/>
    </sheetView>
  </sheetViews>
  <sheetFormatPr defaultRowHeight="12.75" x14ac:dyDescent="0.2"/>
  <cols>
    <col min="1" max="17" width="3.5703125" customWidth="1"/>
    <col min="18" max="18" width="4.42578125" customWidth="1"/>
    <col min="19" max="20" width="3.5703125" customWidth="1"/>
    <col min="21" max="21" width="3.42578125" customWidth="1"/>
    <col min="22" max="25" width="3.5703125" customWidth="1"/>
    <col min="26" max="26" width="3.42578125" customWidth="1"/>
    <col min="28" max="28" width="14.5703125" customWidth="1"/>
  </cols>
  <sheetData>
    <row r="1" spans="1:51" ht="15" customHeight="1" thickBot="1" x14ac:dyDescent="0.25">
      <c r="A1" s="1164" t="s">
        <v>1</v>
      </c>
      <c r="B1" s="1165"/>
      <c r="C1" s="1165"/>
      <c r="D1" s="1165"/>
      <c r="E1" s="1165"/>
      <c r="F1" s="1165"/>
      <c r="G1" s="1165"/>
      <c r="H1" s="1166" t="s">
        <v>0</v>
      </c>
      <c r="I1" s="1166"/>
      <c r="J1" s="1166"/>
      <c r="K1" s="1166"/>
      <c r="L1" s="1166"/>
      <c r="M1" s="1166"/>
      <c r="N1" s="1166"/>
      <c r="O1" s="1166"/>
      <c r="P1" s="1166"/>
      <c r="Q1" s="1166"/>
      <c r="R1" s="1167" t="s">
        <v>829</v>
      </c>
      <c r="S1" s="1168"/>
      <c r="T1" s="1168"/>
      <c r="U1" s="1168"/>
      <c r="V1" s="1168"/>
      <c r="W1" s="1168"/>
      <c r="X1" s="1168"/>
      <c r="Y1" s="1168"/>
      <c r="Z1" s="1169"/>
      <c r="AA1" s="2"/>
    </row>
    <row r="2" spans="1:51" ht="15" customHeight="1" thickBot="1" x14ac:dyDescent="0.25">
      <c r="A2" s="666" t="s">
        <v>840</v>
      </c>
      <c r="B2" s="671"/>
      <c r="C2" s="667"/>
      <c r="D2" s="667"/>
      <c r="E2" s="667"/>
      <c r="F2" s="667"/>
      <c r="G2" s="667"/>
      <c r="H2" s="668"/>
      <c r="I2" s="668"/>
      <c r="J2" s="668"/>
      <c r="K2" s="668"/>
      <c r="L2" s="668"/>
      <c r="M2" s="668"/>
      <c r="N2" s="668"/>
      <c r="O2" s="668"/>
      <c r="P2" s="668"/>
      <c r="Q2" s="668"/>
      <c r="R2" s="669"/>
      <c r="S2" s="669"/>
      <c r="T2" s="669"/>
      <c r="U2" s="669"/>
      <c r="V2" s="669"/>
      <c r="W2" s="669"/>
      <c r="X2" s="669"/>
      <c r="Y2" s="669"/>
      <c r="Z2" s="670"/>
      <c r="AA2" s="2"/>
    </row>
    <row r="3" spans="1:51" ht="15" customHeight="1" thickBot="1" x14ac:dyDescent="0.25">
      <c r="A3" s="1170" t="s">
        <v>841</v>
      </c>
      <c r="B3" s="1171"/>
      <c r="C3" s="1171"/>
      <c r="D3" s="1171"/>
      <c r="E3" s="1171"/>
      <c r="F3" s="1171"/>
      <c r="G3" s="1171"/>
      <c r="H3" s="1171"/>
      <c r="I3" s="1171"/>
      <c r="J3" s="1171"/>
      <c r="K3" s="1171"/>
      <c r="L3" s="1171"/>
      <c r="M3" s="1171"/>
      <c r="N3" s="1171"/>
      <c r="O3" s="1171"/>
      <c r="P3" s="1171"/>
      <c r="Q3" s="1171"/>
      <c r="R3" s="1171"/>
      <c r="S3" s="1171"/>
      <c r="T3" s="1171"/>
      <c r="U3" s="1171"/>
      <c r="V3" s="1171"/>
      <c r="W3" s="1171"/>
      <c r="X3" s="1171"/>
      <c r="Y3" s="1171"/>
      <c r="Z3" s="1172"/>
      <c r="AA3" s="2"/>
    </row>
    <row r="4" spans="1:51" ht="13.5" thickBot="1" x14ac:dyDescent="0.25">
      <c r="A4" s="1149" t="s">
        <v>52</v>
      </c>
      <c r="B4" s="723"/>
      <c r="C4" s="723"/>
      <c r="D4" s="723"/>
      <c r="E4" s="723"/>
      <c r="F4" s="723"/>
      <c r="G4" s="723"/>
      <c r="H4" s="723"/>
      <c r="I4" s="723"/>
      <c r="J4" s="723"/>
      <c r="K4" s="723"/>
      <c r="L4" s="723"/>
      <c r="M4" s="723"/>
      <c r="N4" s="723"/>
      <c r="O4" s="723"/>
      <c r="P4" s="723"/>
      <c r="Q4" s="723"/>
      <c r="R4" s="723"/>
      <c r="S4" s="723"/>
      <c r="T4" s="723"/>
      <c r="U4" s="723"/>
      <c r="V4" s="723"/>
      <c r="W4" s="723"/>
      <c r="X4" s="723"/>
      <c r="Y4" s="723"/>
      <c r="Z4" s="1150"/>
      <c r="AA4" s="2"/>
      <c r="AB4" s="32"/>
      <c r="AC4" s="32"/>
      <c r="AD4" s="32"/>
      <c r="AE4" s="32"/>
      <c r="AF4" s="32"/>
      <c r="AG4" s="32"/>
      <c r="AH4" s="32"/>
      <c r="AI4" s="32"/>
      <c r="AJ4" s="32"/>
      <c r="AK4" s="32"/>
      <c r="AL4" s="32"/>
      <c r="AM4" s="32"/>
      <c r="AN4" s="32"/>
      <c r="AO4" s="32"/>
      <c r="AP4" s="32"/>
      <c r="AQ4" s="32"/>
      <c r="AR4" s="32"/>
      <c r="AS4" s="32"/>
      <c r="AT4" s="32"/>
      <c r="AU4" s="32"/>
      <c r="AV4" s="32"/>
      <c r="AW4" s="32"/>
      <c r="AX4" s="32"/>
      <c r="AY4" s="32"/>
    </row>
    <row r="5" spans="1:51" x14ac:dyDescent="0.2">
      <c r="A5" s="1155" t="s">
        <v>54</v>
      </c>
      <c r="B5" s="1156"/>
      <c r="C5" s="1156"/>
      <c r="D5" s="1156"/>
      <c r="E5" s="1156"/>
      <c r="F5" s="1156"/>
      <c r="G5" s="1156"/>
      <c r="H5" s="1156"/>
      <c r="I5" s="1156"/>
      <c r="J5" s="1156"/>
      <c r="K5" s="1156"/>
      <c r="L5" s="1156"/>
      <c r="M5" s="1156"/>
      <c r="N5" s="1156"/>
      <c r="O5" s="1156"/>
      <c r="P5" s="1156"/>
      <c r="Q5" s="1156"/>
      <c r="R5" s="1156"/>
      <c r="S5" s="1156"/>
      <c r="T5" s="1156"/>
      <c r="U5" s="1156"/>
      <c r="V5" s="1156"/>
      <c r="W5" s="1156"/>
      <c r="X5" s="1156"/>
      <c r="Y5" s="1156"/>
      <c r="Z5" s="1157"/>
      <c r="AA5" s="2"/>
      <c r="AB5" s="35"/>
      <c r="AC5" s="35"/>
      <c r="AD5" s="35"/>
      <c r="AE5" s="35"/>
      <c r="AF5" s="35"/>
      <c r="AG5" s="35"/>
      <c r="AH5" s="35"/>
      <c r="AI5" s="35"/>
      <c r="AJ5" s="35"/>
      <c r="AK5" s="35"/>
      <c r="AL5" s="35"/>
      <c r="AM5" s="35"/>
      <c r="AN5" s="35"/>
      <c r="AO5" s="35"/>
      <c r="AP5" s="35"/>
      <c r="AQ5" s="35"/>
      <c r="AR5" s="35"/>
      <c r="AS5" s="35"/>
      <c r="AT5" s="35"/>
      <c r="AU5" s="35"/>
      <c r="AV5" s="35"/>
      <c r="AW5" s="36"/>
      <c r="AX5" s="36"/>
      <c r="AY5" s="36"/>
    </row>
    <row r="6" spans="1:51" ht="13.5" thickBot="1" x14ac:dyDescent="0.25">
      <c r="A6" s="1155" t="s">
        <v>56</v>
      </c>
      <c r="B6" s="1156"/>
      <c r="C6" s="1156"/>
      <c r="D6" s="1156"/>
      <c r="E6" s="1156"/>
      <c r="F6" s="1156"/>
      <c r="G6" s="1156"/>
      <c r="H6" s="1156"/>
      <c r="I6" s="1156"/>
      <c r="J6" s="1156"/>
      <c r="K6" s="1156"/>
      <c r="L6" s="1156"/>
      <c r="M6" s="1156"/>
      <c r="N6" s="1156"/>
      <c r="O6" s="1156"/>
      <c r="P6" s="1156"/>
      <c r="Q6" s="1156"/>
      <c r="R6" s="1156"/>
      <c r="S6" s="1156"/>
      <c r="T6" s="1156"/>
      <c r="U6" s="1156"/>
      <c r="V6" s="1156"/>
      <c r="W6" s="1156"/>
      <c r="X6" s="1156"/>
      <c r="Y6" s="1156"/>
      <c r="Z6" s="1157"/>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x14ac:dyDescent="0.2">
      <c r="A7" s="701"/>
      <c r="B7" s="2"/>
      <c r="C7" s="2"/>
      <c r="D7" s="2"/>
      <c r="E7" s="2"/>
      <c r="F7" s="2"/>
      <c r="G7" s="2"/>
      <c r="H7" s="2"/>
      <c r="I7" s="2"/>
      <c r="J7" s="2"/>
      <c r="K7" s="1158"/>
      <c r="L7" s="1159"/>
      <c r="M7" s="1159"/>
      <c r="N7" s="1159"/>
      <c r="O7" s="1159"/>
      <c r="P7" s="1160"/>
      <c r="Q7" s="2"/>
      <c r="R7" s="2"/>
      <c r="S7" s="2"/>
      <c r="T7" s="2"/>
      <c r="U7" s="2"/>
      <c r="V7" s="2"/>
      <c r="W7" s="2"/>
      <c r="X7" s="2"/>
      <c r="Y7" s="2"/>
      <c r="Z7" s="521"/>
      <c r="AB7" s="19"/>
      <c r="AC7" s="22"/>
      <c r="AD7" s="22"/>
      <c r="AE7" s="22"/>
      <c r="AF7" s="22"/>
      <c r="AG7" s="22"/>
      <c r="AH7" s="22"/>
      <c r="AI7" s="22"/>
      <c r="AJ7" s="22"/>
      <c r="AK7" s="22"/>
      <c r="AL7" s="22"/>
      <c r="AM7" s="22"/>
      <c r="AN7" s="38"/>
      <c r="AO7" s="38"/>
      <c r="AP7" s="38"/>
      <c r="AQ7" s="38"/>
      <c r="AR7" s="38"/>
      <c r="AS7" s="38"/>
      <c r="AT7" s="38"/>
      <c r="AU7" s="38"/>
      <c r="AV7" s="38"/>
      <c r="AW7" s="38"/>
      <c r="AX7" s="38"/>
      <c r="AY7" s="38"/>
    </row>
    <row r="8" spans="1:51" ht="13.5" thickBot="1" x14ac:dyDescent="0.25">
      <c r="A8" s="519"/>
      <c r="B8" s="2"/>
      <c r="C8" s="2"/>
      <c r="D8" s="2"/>
      <c r="E8" s="2"/>
      <c r="F8" s="2"/>
      <c r="G8" s="2"/>
      <c r="H8" s="2"/>
      <c r="I8" s="2"/>
      <c r="J8" s="2"/>
      <c r="K8" s="1161"/>
      <c r="L8" s="1162"/>
      <c r="M8" s="1162"/>
      <c r="N8" s="1162"/>
      <c r="O8" s="1162"/>
      <c r="P8" s="1163"/>
      <c r="Q8" s="672"/>
      <c r="R8" s="2"/>
      <c r="S8" s="2"/>
      <c r="T8" s="2"/>
      <c r="U8" s="2"/>
      <c r="V8" s="2"/>
      <c r="W8" s="2"/>
      <c r="X8" s="2"/>
      <c r="Y8" s="2"/>
      <c r="Z8" s="521"/>
      <c r="AB8" s="32"/>
      <c r="AC8" s="32"/>
      <c r="AD8" s="32"/>
      <c r="AE8" s="32"/>
      <c r="AF8" s="32"/>
      <c r="AG8" s="32"/>
      <c r="AH8" s="32"/>
      <c r="AI8" s="32"/>
      <c r="AJ8" s="32"/>
      <c r="AK8" s="32"/>
      <c r="AL8" s="32"/>
      <c r="AM8" s="32"/>
      <c r="AN8" s="32"/>
      <c r="AO8" s="32"/>
      <c r="AP8" s="32"/>
      <c r="AQ8" s="32"/>
      <c r="AR8" s="32"/>
      <c r="AS8" s="32"/>
      <c r="AT8" s="32"/>
      <c r="AU8" s="32"/>
      <c r="AV8" s="32"/>
      <c r="AW8" s="32"/>
      <c r="AX8" s="32"/>
      <c r="AY8" s="32"/>
    </row>
    <row r="9" spans="1:51" ht="13.5" thickBot="1" x14ac:dyDescent="0.25">
      <c r="A9" s="600"/>
      <c r="B9" s="2"/>
      <c r="C9" s="2"/>
      <c r="D9" s="2"/>
      <c r="E9" s="2"/>
      <c r="F9" s="2"/>
      <c r="G9" s="2"/>
      <c r="H9" s="2"/>
      <c r="I9" s="2"/>
      <c r="J9" s="2"/>
      <c r="K9" s="41"/>
      <c r="L9" s="2"/>
      <c r="M9" s="2"/>
      <c r="N9" s="2"/>
      <c r="O9" s="2"/>
      <c r="P9" s="2"/>
      <c r="Q9" s="2"/>
      <c r="R9" s="2"/>
      <c r="S9" s="2"/>
      <c r="T9" s="2"/>
      <c r="U9" s="2"/>
      <c r="V9" s="2"/>
      <c r="W9" s="2"/>
      <c r="X9" s="2"/>
      <c r="Y9" s="2"/>
      <c r="Z9" s="521"/>
      <c r="AB9" s="22"/>
      <c r="AC9" s="19"/>
      <c r="AD9" s="19"/>
      <c r="AE9" s="19"/>
      <c r="AF9" s="19"/>
      <c r="AG9" s="19"/>
      <c r="AH9" s="38"/>
      <c r="AI9" s="38"/>
      <c r="AJ9" s="42"/>
      <c r="AK9" s="42"/>
      <c r="AL9" s="42"/>
      <c r="AM9" s="42"/>
      <c r="AN9" s="42"/>
      <c r="AO9" s="42"/>
      <c r="AP9" s="20"/>
      <c r="AQ9" s="20"/>
      <c r="AR9" s="20"/>
      <c r="AS9" s="22"/>
      <c r="AT9" s="22"/>
      <c r="AU9" s="22"/>
      <c r="AV9" s="22"/>
      <c r="AW9" s="22"/>
      <c r="AX9" s="22"/>
      <c r="AY9" s="38"/>
    </row>
    <row r="10" spans="1:51" ht="13.5" thickBot="1" x14ac:dyDescent="0.25">
      <c r="A10" s="1149" t="s">
        <v>60</v>
      </c>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1150"/>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1:51" ht="13.5" thickBot="1" x14ac:dyDescent="0.25">
      <c r="A11" s="1140" t="s">
        <v>62</v>
      </c>
      <c r="B11" s="1141"/>
      <c r="C11" s="1141"/>
      <c r="D11" s="1141"/>
      <c r="E11" s="1141"/>
      <c r="F11" s="1141"/>
      <c r="G11" s="1141"/>
      <c r="H11" s="1141"/>
      <c r="I11" s="1141"/>
      <c r="J11" s="1141"/>
      <c r="K11" s="1141"/>
      <c r="L11" s="1141"/>
      <c r="M11" s="1141"/>
      <c r="N11" s="1141"/>
      <c r="O11" s="1141"/>
      <c r="P11" s="1141"/>
      <c r="Q11" s="1141"/>
      <c r="R11" s="1141"/>
      <c r="S11" s="1141"/>
      <c r="T11" s="1141"/>
      <c r="U11" s="1141"/>
      <c r="V11" s="1141"/>
      <c r="W11" s="1141"/>
      <c r="X11" s="1141"/>
      <c r="Y11" s="1141"/>
      <c r="Z11" s="1142"/>
      <c r="AB11" s="22"/>
      <c r="AC11" s="22"/>
      <c r="AD11" s="22"/>
      <c r="AE11" s="22"/>
      <c r="AF11" s="22"/>
      <c r="AG11" s="22"/>
      <c r="AH11" s="22"/>
      <c r="AI11" s="22"/>
      <c r="AJ11" s="43"/>
      <c r="AK11" s="43"/>
      <c r="AL11" s="43"/>
      <c r="AM11" s="43"/>
      <c r="AN11" s="43"/>
      <c r="AO11" s="43"/>
      <c r="AP11" s="43"/>
      <c r="AQ11" s="43"/>
      <c r="AR11" s="43"/>
      <c r="AS11" s="43"/>
      <c r="AT11" s="43"/>
      <c r="AU11" s="43"/>
      <c r="AV11" s="43"/>
      <c r="AW11" s="43"/>
      <c r="AX11" s="43"/>
      <c r="AY11" s="43"/>
    </row>
    <row r="12" spans="1:51" x14ac:dyDescent="0.2">
      <c r="A12" s="600"/>
      <c r="B12" s="2"/>
      <c r="C12" s="2"/>
      <c r="D12" s="2"/>
      <c r="E12" s="2"/>
      <c r="F12" s="2"/>
      <c r="G12" s="2"/>
      <c r="H12" s="2"/>
      <c r="I12" s="2"/>
      <c r="J12" s="2"/>
      <c r="K12" s="1143"/>
      <c r="L12" s="1144"/>
      <c r="M12" s="1144"/>
      <c r="N12" s="1144"/>
      <c r="O12" s="1144"/>
      <c r="P12" s="1145"/>
      <c r="Q12" s="2"/>
      <c r="R12" s="2"/>
      <c r="S12" s="2"/>
      <c r="T12" s="2"/>
      <c r="U12" s="2"/>
      <c r="V12" s="2"/>
      <c r="W12" s="2"/>
      <c r="X12" s="2"/>
      <c r="Y12" s="2"/>
      <c r="Z12" s="521"/>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row>
    <row r="13" spans="1:51" ht="13.5" thickBot="1" x14ac:dyDescent="0.25">
      <c r="A13" s="460"/>
      <c r="B13" s="41"/>
      <c r="C13" s="41"/>
      <c r="D13" s="41"/>
      <c r="E13" s="41"/>
      <c r="F13" s="41"/>
      <c r="G13" s="41"/>
      <c r="H13" s="41"/>
      <c r="I13" s="41"/>
      <c r="J13" s="41"/>
      <c r="K13" s="1146"/>
      <c r="L13" s="1147"/>
      <c r="M13" s="1147"/>
      <c r="N13" s="1147"/>
      <c r="O13" s="1147"/>
      <c r="P13" s="1148"/>
      <c r="Q13" s="672"/>
      <c r="R13" s="2"/>
      <c r="S13" s="2"/>
      <c r="T13" s="2"/>
      <c r="U13" s="2"/>
      <c r="V13" s="2"/>
      <c r="W13" s="2"/>
      <c r="X13" s="2"/>
      <c r="Y13" s="2"/>
      <c r="Z13" s="521"/>
      <c r="AB13" s="22"/>
      <c r="AC13" s="22"/>
      <c r="AD13" s="22"/>
      <c r="AE13" s="22"/>
      <c r="AF13" s="22"/>
      <c r="AG13" s="22"/>
      <c r="AH13" s="22"/>
      <c r="AI13" s="43"/>
      <c r="AJ13" s="43"/>
      <c r="AK13" s="43"/>
      <c r="AL13" s="43"/>
      <c r="AM13" s="43"/>
      <c r="AN13" s="43"/>
      <c r="AO13" s="43"/>
      <c r="AP13" s="43"/>
      <c r="AQ13" s="43"/>
      <c r="AR13" s="43"/>
      <c r="AS13" s="43"/>
      <c r="AT13" s="43"/>
      <c r="AU13" s="43"/>
      <c r="AV13" s="43"/>
      <c r="AW13" s="43"/>
      <c r="AX13" s="43"/>
      <c r="AY13" s="43"/>
    </row>
    <row r="14" spans="1:51" ht="13.5" thickBot="1" x14ac:dyDescent="0.25">
      <c r="A14" s="600"/>
      <c r="B14" s="2"/>
      <c r="C14" s="2"/>
      <c r="D14" s="2"/>
      <c r="E14" s="2"/>
      <c r="F14" s="2"/>
      <c r="G14" s="2"/>
      <c r="H14" s="2"/>
      <c r="I14" s="2"/>
      <c r="J14" s="2"/>
      <c r="K14" s="2"/>
      <c r="L14" s="2"/>
      <c r="M14" s="2"/>
      <c r="N14" s="2"/>
      <c r="O14" s="2"/>
      <c r="P14" s="2"/>
      <c r="Q14" s="2"/>
      <c r="R14" s="2"/>
      <c r="S14" s="2"/>
      <c r="T14" s="2"/>
      <c r="U14" s="2"/>
      <c r="V14" s="2"/>
      <c r="W14" s="2"/>
      <c r="X14" s="2"/>
      <c r="Y14" s="2"/>
      <c r="Z14" s="521"/>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spans="1:51" ht="13.5" thickBot="1" x14ac:dyDescent="0.25">
      <c r="A15" s="1149" t="s">
        <v>65</v>
      </c>
      <c r="B15" s="723"/>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1150"/>
      <c r="AB15" s="22"/>
      <c r="AC15" s="22"/>
      <c r="AD15" s="22"/>
      <c r="AE15" s="22"/>
      <c r="AF15" s="22"/>
      <c r="AG15" s="45"/>
      <c r="AH15" s="45"/>
      <c r="AI15" s="45"/>
      <c r="AJ15" s="45"/>
      <c r="AK15" s="45"/>
      <c r="AL15" s="45"/>
      <c r="AM15" s="45"/>
      <c r="AN15" s="22"/>
      <c r="AO15" s="22"/>
      <c r="AP15" s="22"/>
      <c r="AQ15" s="22"/>
      <c r="AR15" s="22"/>
      <c r="AS15" s="46"/>
      <c r="AT15" s="46"/>
      <c r="AU15" s="46"/>
      <c r="AV15" s="46"/>
      <c r="AW15" s="46"/>
      <c r="AX15" s="46"/>
      <c r="AY15" s="46"/>
    </row>
    <row r="16" spans="1:51" ht="13.5" thickBot="1" x14ac:dyDescent="0.25">
      <c r="A16" s="1140" t="s">
        <v>66</v>
      </c>
      <c r="B16" s="1141"/>
      <c r="C16" s="1141"/>
      <c r="D16" s="1141"/>
      <c r="E16" s="1141"/>
      <c r="F16" s="1141"/>
      <c r="G16" s="1141"/>
      <c r="H16" s="1141"/>
      <c r="I16" s="1141"/>
      <c r="J16" s="1141"/>
      <c r="K16" s="1141"/>
      <c r="L16" s="1141"/>
      <c r="M16" s="1141"/>
      <c r="N16" s="1141"/>
      <c r="O16" s="1141"/>
      <c r="P16" s="1141"/>
      <c r="Q16" s="1141"/>
      <c r="R16" s="1141"/>
      <c r="S16" s="1141"/>
      <c r="T16" s="1141"/>
      <c r="U16" s="1141"/>
      <c r="V16" s="1141"/>
      <c r="W16" s="1141"/>
      <c r="X16" s="1141"/>
      <c r="Y16" s="1141"/>
      <c r="Z16" s="1142"/>
      <c r="AB16" s="22"/>
      <c r="AC16" s="22"/>
      <c r="AD16" s="22"/>
      <c r="AE16" s="22"/>
      <c r="AF16" s="22"/>
      <c r="AG16" s="22"/>
      <c r="AH16" s="22"/>
      <c r="AI16" s="47"/>
      <c r="AJ16" s="47"/>
      <c r="AK16" s="47"/>
      <c r="AL16" s="47"/>
      <c r="AM16" s="47"/>
      <c r="AN16" s="22"/>
      <c r="AO16" s="22"/>
      <c r="AP16" s="22"/>
      <c r="AQ16" s="22"/>
      <c r="AR16" s="22"/>
      <c r="AS16" s="38"/>
      <c r="AT16" s="38"/>
      <c r="AU16" s="38"/>
      <c r="AV16" s="38"/>
      <c r="AW16" s="38"/>
      <c r="AX16" s="38"/>
      <c r="AY16" s="38"/>
    </row>
    <row r="17" spans="1:51" x14ac:dyDescent="0.2">
      <c r="A17" s="701"/>
      <c r="B17" s="2"/>
      <c r="C17" s="2"/>
      <c r="D17" s="2"/>
      <c r="E17" s="2"/>
      <c r="F17" s="2"/>
      <c r="G17" s="2"/>
      <c r="H17" s="2"/>
      <c r="I17" s="2"/>
      <c r="J17" s="2"/>
      <c r="K17" s="1143"/>
      <c r="L17" s="1144"/>
      <c r="M17" s="1144"/>
      <c r="N17" s="1144"/>
      <c r="O17" s="1144"/>
      <c r="P17" s="1145"/>
      <c r="Q17" s="2"/>
      <c r="R17" s="2"/>
      <c r="S17" s="2"/>
      <c r="T17" s="2"/>
      <c r="U17" s="2"/>
      <c r="V17" s="2"/>
      <c r="W17" s="2"/>
      <c r="X17" s="2"/>
      <c r="Y17" s="2"/>
      <c r="Z17" s="521"/>
      <c r="AB17" s="22"/>
      <c r="AC17" s="22"/>
      <c r="AD17" s="22"/>
      <c r="AE17" s="22"/>
      <c r="AF17" s="22"/>
      <c r="AG17" s="22"/>
      <c r="AH17" s="22"/>
      <c r="AI17" s="47"/>
      <c r="AJ17" s="47"/>
      <c r="AK17" s="47"/>
      <c r="AL17" s="47"/>
      <c r="AM17" s="47"/>
      <c r="AN17" s="22"/>
      <c r="AO17" s="22"/>
      <c r="AP17" s="22"/>
      <c r="AQ17" s="22"/>
      <c r="AR17" s="22"/>
      <c r="AS17" s="38"/>
      <c r="AT17" s="38"/>
      <c r="AU17" s="38"/>
      <c r="AV17" s="38"/>
      <c r="AW17" s="38"/>
      <c r="AX17" s="38"/>
      <c r="AY17" s="38"/>
    </row>
    <row r="18" spans="1:51" ht="13.5" thickBot="1" x14ac:dyDescent="0.25">
      <c r="A18" s="519"/>
      <c r="B18" s="2"/>
      <c r="C18" s="2"/>
      <c r="D18" s="2"/>
      <c r="E18" s="2"/>
      <c r="F18" s="2"/>
      <c r="G18" s="2"/>
      <c r="H18" s="2"/>
      <c r="I18" s="2"/>
      <c r="J18" s="2"/>
      <c r="K18" s="1146"/>
      <c r="L18" s="1147"/>
      <c r="M18" s="1147"/>
      <c r="N18" s="1147"/>
      <c r="O18" s="1147"/>
      <c r="P18" s="1148"/>
      <c r="Q18" s="672"/>
      <c r="R18" s="2"/>
      <c r="S18" s="2"/>
      <c r="T18" s="2"/>
      <c r="U18" s="2"/>
      <c r="V18" s="2"/>
      <c r="W18" s="2"/>
      <c r="X18" s="2"/>
      <c r="Y18" s="2"/>
      <c r="Z18" s="521"/>
      <c r="AB18" s="22"/>
      <c r="AC18" s="22"/>
      <c r="AD18" s="22"/>
      <c r="AE18" s="22"/>
      <c r="AF18" s="22"/>
      <c r="AG18" s="22"/>
      <c r="AH18" s="22"/>
      <c r="AI18" s="47"/>
      <c r="AJ18" s="47"/>
      <c r="AK18" s="47"/>
      <c r="AL18" s="47"/>
      <c r="AM18" s="47"/>
      <c r="AN18" s="22"/>
      <c r="AO18" s="22"/>
      <c r="AP18" s="22"/>
      <c r="AQ18" s="22"/>
      <c r="AR18" s="22"/>
      <c r="AS18" s="38"/>
      <c r="AT18" s="38"/>
      <c r="AU18" s="38"/>
      <c r="AV18" s="38"/>
      <c r="AW18" s="38"/>
      <c r="AX18" s="38"/>
      <c r="AY18" s="38"/>
    </row>
    <row r="19" spans="1:51" ht="13.5" thickBot="1" x14ac:dyDescent="0.25">
      <c r="A19" s="519"/>
      <c r="B19" s="2"/>
      <c r="C19" s="2"/>
      <c r="D19" s="2"/>
      <c r="E19" s="2"/>
      <c r="F19" s="2"/>
      <c r="G19" s="2"/>
      <c r="H19" s="2"/>
      <c r="I19" s="2"/>
      <c r="J19" s="2"/>
      <c r="K19" s="51"/>
      <c r="L19" s="51"/>
      <c r="M19" s="2"/>
      <c r="N19" s="2"/>
      <c r="O19" s="2"/>
      <c r="P19" s="2"/>
      <c r="Q19" s="2"/>
      <c r="R19" s="2"/>
      <c r="S19" s="2"/>
      <c r="T19" s="2"/>
      <c r="U19" s="2"/>
      <c r="V19" s="2"/>
      <c r="W19" s="2"/>
      <c r="X19" s="2"/>
      <c r="Y19" s="2"/>
      <c r="Z19" s="521"/>
      <c r="AB19" s="22"/>
      <c r="AC19" s="22"/>
      <c r="AD19" s="22"/>
      <c r="AE19" s="22"/>
      <c r="AF19" s="22"/>
      <c r="AG19" s="22"/>
      <c r="AH19" s="22"/>
      <c r="AI19" s="47"/>
      <c r="AJ19" s="47"/>
      <c r="AK19" s="47"/>
      <c r="AL19" s="47"/>
      <c r="AM19" s="47"/>
      <c r="AN19" s="22"/>
      <c r="AO19" s="22"/>
      <c r="AP19" s="22"/>
      <c r="AQ19" s="22"/>
      <c r="AR19" s="22"/>
      <c r="AS19" s="38"/>
      <c r="AT19" s="38"/>
      <c r="AU19" s="38"/>
      <c r="AV19" s="38"/>
      <c r="AW19" s="38"/>
      <c r="AX19" s="38"/>
      <c r="AY19" s="38"/>
    </row>
    <row r="20" spans="1:51" ht="12" customHeight="1" thickBot="1" x14ac:dyDescent="0.25">
      <c r="A20" s="1151" t="s">
        <v>830</v>
      </c>
      <c r="B20" s="1152"/>
      <c r="C20" s="1152"/>
      <c r="D20" s="1152"/>
      <c r="E20" s="1152"/>
      <c r="F20" s="1152"/>
      <c r="G20" s="1152"/>
      <c r="H20" s="1152"/>
      <c r="I20" s="1152"/>
      <c r="J20" s="1152"/>
      <c r="K20" s="1152"/>
      <c r="L20" s="1152"/>
      <c r="M20" s="1152"/>
      <c r="N20" s="1152"/>
      <c r="O20" s="1152"/>
      <c r="P20" s="1152"/>
      <c r="Q20" s="1152"/>
      <c r="R20" s="1152"/>
      <c r="S20" s="1152"/>
      <c r="T20" s="1152"/>
      <c r="U20" s="1152"/>
      <c r="V20" s="1152"/>
      <c r="W20" s="1152"/>
      <c r="X20" s="1152"/>
      <c r="Y20" s="1152"/>
      <c r="Z20" s="1153"/>
      <c r="AA20" s="502"/>
      <c r="AB20" s="502"/>
      <c r="AC20" s="47"/>
      <c r="AD20" s="47"/>
      <c r="AE20" s="47"/>
      <c r="AF20" s="22"/>
      <c r="AG20" s="22"/>
      <c r="AH20" s="22"/>
      <c r="AI20" s="22"/>
      <c r="AJ20" s="22"/>
      <c r="AK20" s="38"/>
      <c r="AL20" s="38"/>
      <c r="AM20" s="38"/>
      <c r="AN20" s="38"/>
      <c r="AO20" s="38"/>
      <c r="AP20" s="38"/>
      <c r="AQ20" s="38"/>
    </row>
    <row r="21" spans="1:51" ht="13.5" thickBot="1" x14ac:dyDescent="0.25">
      <c r="A21" s="519" t="s">
        <v>69</v>
      </c>
      <c r="B21" s="2"/>
      <c r="C21" s="2"/>
      <c r="D21" s="2"/>
      <c r="E21" s="2"/>
      <c r="F21" s="2"/>
      <c r="G21" s="2"/>
      <c r="H21" s="1154"/>
      <c r="I21" s="1154"/>
      <c r="J21" s="2"/>
      <c r="K21" s="2"/>
      <c r="L21" s="2"/>
      <c r="M21" s="2"/>
      <c r="N21" s="2"/>
      <c r="O21" s="2"/>
      <c r="P21" s="2"/>
      <c r="Q21" s="2"/>
      <c r="R21" s="2"/>
      <c r="S21" s="2"/>
      <c r="T21" s="2"/>
      <c r="U21" s="2"/>
      <c r="V21" s="2"/>
      <c r="W21" s="2"/>
      <c r="X21" s="2"/>
      <c r="Y21" s="2"/>
      <c r="Z21" s="521"/>
      <c r="AA21" s="502"/>
      <c r="AB21" s="502"/>
      <c r="AC21" s="47"/>
      <c r="AD21" s="47"/>
      <c r="AE21" s="47"/>
      <c r="AF21" s="22"/>
      <c r="AG21" s="22"/>
      <c r="AH21" s="22"/>
      <c r="AI21" s="22"/>
      <c r="AJ21" s="22"/>
      <c r="AK21" s="38"/>
      <c r="AL21" s="38"/>
      <c r="AM21" s="38"/>
      <c r="AN21" s="38"/>
      <c r="AO21" s="38"/>
      <c r="AP21" s="38"/>
      <c r="AQ21" s="38"/>
    </row>
    <row r="22" spans="1:51" ht="3" customHeight="1" thickBot="1" x14ac:dyDescent="0.25">
      <c r="A22" s="519"/>
      <c r="B22" s="2"/>
      <c r="C22" s="2"/>
      <c r="D22" s="2"/>
      <c r="E22" s="2"/>
      <c r="F22" s="2"/>
      <c r="G22" s="2"/>
      <c r="H22" s="514"/>
      <c r="I22" s="514"/>
      <c r="J22" s="2"/>
      <c r="K22" s="2"/>
      <c r="L22" s="2"/>
      <c r="M22" s="2"/>
      <c r="N22" s="2"/>
      <c r="O22" s="2"/>
      <c r="P22" s="2"/>
      <c r="Q22" s="2"/>
      <c r="R22" s="2"/>
      <c r="S22" s="2"/>
      <c r="T22" s="2"/>
      <c r="U22" s="2"/>
      <c r="V22" s="2"/>
      <c r="W22" s="2"/>
      <c r="X22" s="2"/>
      <c r="Y22" s="2"/>
      <c r="Z22" s="521"/>
      <c r="AA22" s="502"/>
      <c r="AB22" s="502"/>
      <c r="AC22" s="47"/>
      <c r="AD22" s="47"/>
      <c r="AE22" s="47"/>
      <c r="AF22" s="22"/>
      <c r="AG22" s="22"/>
      <c r="AH22" s="22"/>
      <c r="AI22" s="22"/>
      <c r="AJ22" s="22"/>
      <c r="AK22" s="38"/>
      <c r="AL22" s="38"/>
      <c r="AM22" s="38"/>
      <c r="AN22" s="38"/>
      <c r="AO22" s="38"/>
      <c r="AP22" s="38"/>
      <c r="AQ22" s="38"/>
    </row>
    <row r="23" spans="1:51" ht="13.5" thickBot="1" x14ac:dyDescent="0.25">
      <c r="A23" s="519" t="s">
        <v>70</v>
      </c>
      <c r="B23" s="51"/>
      <c r="C23" s="51"/>
      <c r="D23" s="2"/>
      <c r="E23" s="2"/>
      <c r="F23" s="924" t="s">
        <v>71</v>
      </c>
      <c r="G23" s="924"/>
      <c r="H23" s="924"/>
      <c r="I23" s="924"/>
      <c r="J23" s="924"/>
      <c r="K23" s="2"/>
      <c r="L23" s="1137"/>
      <c r="M23" s="1137"/>
      <c r="N23" s="2"/>
      <c r="O23" s="924" t="s">
        <v>785</v>
      </c>
      <c r="P23" s="924"/>
      <c r="Q23" s="924"/>
      <c r="R23" s="924"/>
      <c r="S23" s="924"/>
      <c r="T23" s="924"/>
      <c r="U23" s="924"/>
      <c r="V23" s="926"/>
      <c r="W23" s="1138"/>
      <c r="X23" s="1139"/>
      <c r="Y23" s="2"/>
      <c r="Z23" s="521"/>
      <c r="AA23" s="502"/>
      <c r="AB23" s="502"/>
      <c r="AC23" s="47"/>
      <c r="AD23" s="47"/>
      <c r="AE23" s="47"/>
      <c r="AF23" s="22"/>
      <c r="AG23" s="22"/>
      <c r="AH23" s="22"/>
      <c r="AI23" s="22"/>
      <c r="AJ23" s="22"/>
      <c r="AK23" s="38"/>
      <c r="AL23" s="38"/>
      <c r="AM23" s="38"/>
      <c r="AN23" s="38"/>
      <c r="AO23" s="38"/>
      <c r="AP23" s="38"/>
      <c r="AQ23" s="38"/>
    </row>
    <row r="24" spans="1:51" ht="13.5" thickBot="1" x14ac:dyDescent="0.25">
      <c r="A24" s="519"/>
      <c r="B24" s="51"/>
      <c r="C24" s="51"/>
      <c r="D24" s="2"/>
      <c r="E24" s="2"/>
      <c r="F24" s="924" t="s">
        <v>786</v>
      </c>
      <c r="G24" s="924"/>
      <c r="H24" s="924"/>
      <c r="I24" s="924"/>
      <c r="J24" s="924"/>
      <c r="K24" s="2"/>
      <c r="L24" s="1138"/>
      <c r="M24" s="1139"/>
      <c r="N24" s="2"/>
      <c r="O24" s="924" t="s">
        <v>72</v>
      </c>
      <c r="P24" s="924"/>
      <c r="Q24" s="924"/>
      <c r="R24" s="924"/>
      <c r="S24" s="924"/>
      <c r="T24" s="924"/>
      <c r="U24" s="924"/>
      <c r="V24" s="41"/>
      <c r="W24" s="1138"/>
      <c r="X24" s="1139"/>
      <c r="Y24" s="2"/>
      <c r="Z24" s="521"/>
      <c r="AA24" s="502"/>
      <c r="AB24" s="502"/>
      <c r="AC24" s="47"/>
      <c r="AD24" s="47"/>
      <c r="AE24" s="47"/>
      <c r="AF24" s="22"/>
      <c r="AG24" s="22"/>
      <c r="AH24" s="22"/>
      <c r="AI24" s="22"/>
      <c r="AJ24" s="22"/>
      <c r="AK24" s="38"/>
      <c r="AL24" s="38"/>
      <c r="AM24" s="38"/>
      <c r="AN24" s="38"/>
      <c r="AO24" s="38"/>
      <c r="AP24" s="38"/>
      <c r="AQ24" s="38"/>
    </row>
    <row r="25" spans="1:51" ht="13.5" thickBot="1" x14ac:dyDescent="0.25">
      <c r="A25" s="519"/>
      <c r="B25" s="2"/>
      <c r="C25" s="2"/>
      <c r="D25" s="2"/>
      <c r="E25" s="2"/>
      <c r="F25" s="924" t="s">
        <v>787</v>
      </c>
      <c r="G25" s="924"/>
      <c r="H25" s="1133"/>
      <c r="I25" s="1133"/>
      <c r="J25" s="1133"/>
      <c r="K25" s="1133"/>
      <c r="L25" s="1133"/>
      <c r="M25" s="1133"/>
      <c r="N25" s="1133"/>
      <c r="O25" s="1133"/>
      <c r="P25" s="1133"/>
      <c r="Q25" s="1133"/>
      <c r="R25" s="1133"/>
      <c r="S25" s="1133"/>
      <c r="T25" s="1133"/>
      <c r="U25" s="1133"/>
      <c r="V25" s="1133"/>
      <c r="W25" s="1133"/>
      <c r="X25" s="1133"/>
      <c r="Y25" s="1133"/>
      <c r="Z25" s="1134"/>
      <c r="AA25" s="502"/>
      <c r="AB25" s="502"/>
      <c r="AC25" s="47"/>
      <c r="AD25" s="47"/>
      <c r="AE25" s="47"/>
      <c r="AF25" s="22"/>
      <c r="AG25" s="22"/>
      <c r="AH25" s="22"/>
      <c r="AI25" s="22"/>
      <c r="AJ25" s="22"/>
      <c r="AK25" s="38"/>
      <c r="AL25" s="38"/>
      <c r="AM25" s="38"/>
      <c r="AN25" s="38"/>
      <c r="AO25" s="38"/>
      <c r="AP25" s="38"/>
      <c r="AQ25" s="38"/>
    </row>
    <row r="26" spans="1:51" ht="12" customHeight="1" thickBot="1" x14ac:dyDescent="0.25">
      <c r="A26" s="1105" t="s">
        <v>73</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7"/>
      <c r="AA26" s="502"/>
      <c r="AB26" s="502"/>
      <c r="AC26" s="2"/>
      <c r="AD26" s="2"/>
      <c r="AE26" s="2"/>
      <c r="AF26" s="2"/>
      <c r="AG26" s="2"/>
      <c r="AH26" s="2"/>
      <c r="AI26" s="2"/>
      <c r="AJ26" s="2"/>
      <c r="AK26" s="2"/>
      <c r="AL26" s="2"/>
    </row>
    <row r="27" spans="1:51" ht="13.5" thickBot="1" x14ac:dyDescent="0.25">
      <c r="A27" s="938" t="s">
        <v>74</v>
      </c>
      <c r="B27" s="939"/>
      <c r="C27" s="939"/>
      <c r="D27" s="939"/>
      <c r="E27" s="939"/>
      <c r="F27" s="939"/>
      <c r="G27" s="939"/>
      <c r="H27" s="939"/>
      <c r="I27" s="660"/>
      <c r="J27" s="522" t="s">
        <v>76</v>
      </c>
      <c r="K27" s="504"/>
      <c r="L27" s="11"/>
      <c r="M27" s="522" t="s">
        <v>75</v>
      </c>
      <c r="N27" s="523"/>
      <c r="O27" s="504"/>
      <c r="P27" s="504"/>
      <c r="Q27" s="504"/>
      <c r="R27" s="504"/>
      <c r="S27" s="504"/>
      <c r="T27" s="504"/>
      <c r="U27" s="504"/>
      <c r="V27" s="504"/>
      <c r="W27" s="522"/>
      <c r="X27" s="504"/>
      <c r="Y27" s="504"/>
      <c r="Z27" s="524"/>
      <c r="AA27" s="502"/>
      <c r="AB27" s="502"/>
      <c r="AC27" s="2"/>
      <c r="AD27" s="2"/>
      <c r="AE27" s="2"/>
      <c r="AF27" s="2"/>
      <c r="AG27" s="2"/>
      <c r="AH27" s="2"/>
      <c r="AI27" s="2"/>
      <c r="AJ27" s="2"/>
      <c r="AK27" s="2"/>
      <c r="AL27" s="2"/>
    </row>
    <row r="28" spans="1:51" ht="3" customHeight="1" thickBot="1" x14ac:dyDescent="0.25">
      <c r="A28" s="518"/>
      <c r="B28" s="35"/>
      <c r="C28" s="35"/>
      <c r="D28" s="35"/>
      <c r="E28" s="35"/>
      <c r="F28" s="35"/>
      <c r="G28" s="35"/>
      <c r="H28" s="35"/>
      <c r="I28" s="504"/>
      <c r="J28" s="522"/>
      <c r="K28" s="504"/>
      <c r="L28" s="504"/>
      <c r="M28" s="522"/>
      <c r="N28" s="523"/>
      <c r="O28" s="504"/>
      <c r="P28" s="504"/>
      <c r="Q28" s="504"/>
      <c r="R28" s="504"/>
      <c r="S28" s="504"/>
      <c r="T28" s="504"/>
      <c r="U28" s="504"/>
      <c r="V28" s="504"/>
      <c r="W28" s="522"/>
      <c r="X28" s="504"/>
      <c r="Y28" s="504"/>
      <c r="Z28" s="524"/>
      <c r="AA28" s="502"/>
      <c r="AB28" s="502"/>
      <c r="AC28" s="2"/>
      <c r="AD28" s="2"/>
      <c r="AE28" s="2"/>
      <c r="AF28" s="2"/>
      <c r="AG28" s="2"/>
      <c r="AH28" s="2"/>
      <c r="AI28" s="2"/>
      <c r="AJ28" s="2"/>
      <c r="AK28" s="2"/>
      <c r="AL28" s="2"/>
    </row>
    <row r="29" spans="1:51" ht="13.5" thickBot="1" x14ac:dyDescent="0.25">
      <c r="A29" s="794" t="s">
        <v>788</v>
      </c>
      <c r="B29" s="924"/>
      <c r="C29" s="924"/>
      <c r="D29" s="924"/>
      <c r="E29" s="924"/>
      <c r="F29" s="924" t="s">
        <v>71</v>
      </c>
      <c r="G29" s="924"/>
      <c r="H29" s="924"/>
      <c r="I29" s="924"/>
      <c r="J29" s="924"/>
      <c r="K29" s="2"/>
      <c r="L29" s="1126" t="str">
        <f>IF(I27="X",IF(#REF!="X",[1]NBR!J177,[1]IT!J182),"")</f>
        <v/>
      </c>
      <c r="M29" s="1127"/>
      <c r="N29" s="2"/>
      <c r="O29" s="525" t="s">
        <v>72</v>
      </c>
      <c r="P29" s="525"/>
      <c r="Q29" s="525"/>
      <c r="R29" s="525"/>
      <c r="S29" s="1135"/>
      <c r="T29" s="1136"/>
      <c r="U29" s="525"/>
      <c r="V29" s="2"/>
      <c r="W29" s="2"/>
      <c r="X29" s="2"/>
      <c r="Y29" s="2"/>
      <c r="Z29" s="521"/>
      <c r="AA29" s="502"/>
      <c r="AB29" s="502"/>
      <c r="AC29" s="2"/>
      <c r="AD29" s="2"/>
      <c r="AE29" s="2"/>
      <c r="AF29" s="2"/>
      <c r="AG29" s="2"/>
      <c r="AH29" s="2"/>
      <c r="AI29" s="2"/>
      <c r="AJ29" s="2"/>
      <c r="AK29" s="2"/>
      <c r="AL29" s="2"/>
    </row>
    <row r="30" spans="1:51" ht="13.5" thickBot="1" x14ac:dyDescent="0.25">
      <c r="A30" s="519"/>
      <c r="B30" s="51"/>
      <c r="C30" s="51"/>
      <c r="D30" s="2"/>
      <c r="E30" s="2"/>
      <c r="F30" s="924" t="s">
        <v>786</v>
      </c>
      <c r="G30" s="924"/>
      <c r="H30" s="924"/>
      <c r="I30" s="924"/>
      <c r="J30" s="924"/>
      <c r="K30" s="2"/>
      <c r="L30" s="1126"/>
      <c r="M30" s="1127"/>
      <c r="N30" s="2"/>
      <c r="O30" s="924" t="s">
        <v>787</v>
      </c>
      <c r="P30" s="924"/>
      <c r="Q30" s="924"/>
      <c r="R30" s="1126"/>
      <c r="S30" s="1128"/>
      <c r="T30" s="1128"/>
      <c r="U30" s="1128"/>
      <c r="V30" s="1128"/>
      <c r="W30" s="1128"/>
      <c r="X30" s="1128"/>
      <c r="Y30" s="1128"/>
      <c r="Z30" s="1127"/>
      <c r="AA30" s="502"/>
      <c r="AB30" s="502"/>
      <c r="AC30" s="2"/>
      <c r="AD30" s="2"/>
      <c r="AE30" s="2"/>
      <c r="AF30" s="2"/>
      <c r="AG30" s="2"/>
      <c r="AH30" s="2"/>
      <c r="AI30" s="2"/>
      <c r="AJ30" s="2"/>
      <c r="AK30" s="2"/>
      <c r="AL30" s="2"/>
    </row>
    <row r="31" spans="1:51" ht="13.5" thickBot="1" x14ac:dyDescent="0.25">
      <c r="A31" s="1105" t="s">
        <v>77</v>
      </c>
      <c r="B31" s="1106"/>
      <c r="C31" s="1106"/>
      <c r="D31" s="1106"/>
      <c r="E31" s="1106"/>
      <c r="F31" s="1106"/>
      <c r="G31" s="1106"/>
      <c r="H31" s="1106"/>
      <c r="I31" s="1106"/>
      <c r="J31" s="1106"/>
      <c r="K31" s="1106"/>
      <c r="L31" s="1106"/>
      <c r="M31" s="1106"/>
      <c r="N31" s="1106"/>
      <c r="O31" s="1106"/>
      <c r="P31" s="1106"/>
      <c r="Q31" s="1106"/>
      <c r="R31" s="1129"/>
      <c r="S31" s="1129"/>
      <c r="T31" s="1129"/>
      <c r="U31" s="1129"/>
      <c r="V31" s="1129"/>
      <c r="W31" s="1129"/>
      <c r="X31" s="1129"/>
      <c r="Y31" s="1129"/>
      <c r="Z31" s="1130"/>
    </row>
    <row r="32" spans="1:51" ht="13.35" customHeight="1" thickBot="1" x14ac:dyDescent="0.25">
      <c r="A32" s="1131" t="s">
        <v>78</v>
      </c>
      <c r="B32" s="913"/>
      <c r="C32" s="1132"/>
      <c r="D32" s="1132"/>
      <c r="E32" s="1132"/>
      <c r="F32" s="1132"/>
      <c r="G32" s="1132"/>
      <c r="H32" s="1132"/>
      <c r="I32" s="1132"/>
      <c r="J32" s="1132"/>
      <c r="K32" s="1132"/>
      <c r="L32" s="1132"/>
      <c r="M32" s="1132"/>
      <c r="N32" s="1132"/>
      <c r="O32" s="1132"/>
      <c r="P32" s="1132"/>
      <c r="Q32" s="1132"/>
      <c r="R32" s="1132"/>
      <c r="S32" s="1132"/>
      <c r="T32" s="1132"/>
      <c r="U32" s="1132"/>
      <c r="V32" s="1132"/>
      <c r="W32" s="1132"/>
      <c r="X32" s="1132"/>
      <c r="Y32" s="1132"/>
      <c r="Z32" s="702"/>
    </row>
    <row r="33" spans="1:42" ht="13.5" thickBot="1" x14ac:dyDescent="0.25">
      <c r="A33" s="1105" t="s">
        <v>80</v>
      </c>
      <c r="B33" s="1106"/>
      <c r="C33" s="1106"/>
      <c r="D33" s="1106"/>
      <c r="E33" s="1106"/>
      <c r="F33" s="1106"/>
      <c r="G33" s="1106"/>
      <c r="H33" s="1106"/>
      <c r="I33" s="1106"/>
      <c r="J33" s="1106"/>
      <c r="K33" s="1106"/>
      <c r="L33" s="1106"/>
      <c r="M33" s="1106"/>
      <c r="N33" s="1106"/>
      <c r="O33" s="1106"/>
      <c r="P33" s="1106"/>
      <c r="Q33" s="1106"/>
      <c r="R33" s="1106"/>
      <c r="S33" s="1106"/>
      <c r="T33" s="1106"/>
      <c r="U33" s="1106"/>
      <c r="V33" s="1106"/>
      <c r="W33" s="1106"/>
      <c r="X33" s="1106"/>
      <c r="Y33" s="1106"/>
      <c r="Z33" s="1107"/>
    </row>
    <row r="34" spans="1:42" x14ac:dyDescent="0.2">
      <c r="A34" s="1113" t="s">
        <v>81</v>
      </c>
      <c r="B34" s="905"/>
      <c r="C34" s="905"/>
      <c r="D34" s="12" t="s">
        <v>82</v>
      </c>
      <c r="E34" s="12"/>
      <c r="F34" s="12"/>
      <c r="G34" s="12"/>
      <c r="H34" s="478"/>
      <c r="I34" s="479"/>
      <c r="J34" s="479"/>
      <c r="K34" s="1114"/>
      <c r="L34" s="1114"/>
      <c r="M34" s="1114"/>
      <c r="N34" s="1114"/>
      <c r="O34" s="1114"/>
      <c r="P34" s="1114"/>
      <c r="Q34" s="1114"/>
      <c r="R34" s="1114"/>
      <c r="S34" s="1114"/>
      <c r="T34" s="1114"/>
      <c r="U34" s="1114"/>
      <c r="V34" s="1114"/>
      <c r="W34" s="1114"/>
      <c r="X34" s="1114"/>
      <c r="Y34" s="1114"/>
      <c r="Z34" s="1115"/>
      <c r="AB34" s="53"/>
    </row>
    <row r="35" spans="1:42" x14ac:dyDescent="0.2">
      <c r="A35" s="1123" t="s">
        <v>10</v>
      </c>
      <c r="B35" s="907"/>
      <c r="C35" s="907"/>
      <c r="D35" s="908" t="s">
        <v>83</v>
      </c>
      <c r="E35" s="908"/>
      <c r="F35" s="908"/>
      <c r="G35" s="908"/>
      <c r="H35" s="908"/>
      <c r="I35" s="908"/>
      <c r="J35" s="908"/>
      <c r="K35" s="908"/>
      <c r="L35" s="908"/>
      <c r="M35" s="1124"/>
      <c r="N35" s="1124"/>
      <c r="O35" s="1124"/>
      <c r="P35" s="1124"/>
      <c r="Q35" s="1124"/>
      <c r="R35" s="1124"/>
      <c r="S35" s="1124"/>
      <c r="T35" s="1124"/>
      <c r="U35" s="1124"/>
      <c r="V35" s="1124"/>
      <c r="W35" s="1124"/>
      <c r="X35" s="1124"/>
      <c r="Y35" s="1124"/>
      <c r="Z35" s="1125"/>
      <c r="AC35" s="492"/>
      <c r="AD35" s="492"/>
      <c r="AE35" s="492"/>
      <c r="AF35" s="492"/>
      <c r="AG35" s="492"/>
      <c r="AH35" s="492"/>
      <c r="AI35" s="492"/>
      <c r="AJ35" s="492"/>
      <c r="AK35" s="492"/>
      <c r="AL35" s="492"/>
      <c r="AM35" s="492"/>
      <c r="AN35" s="492"/>
      <c r="AO35" s="492"/>
      <c r="AP35" s="493"/>
    </row>
    <row r="36" spans="1:42" ht="13.5" thickBot="1" x14ac:dyDescent="0.25">
      <c r="A36" s="1119" t="s">
        <v>10</v>
      </c>
      <c r="B36" s="910"/>
      <c r="C36" s="910"/>
      <c r="D36" s="911" t="s">
        <v>84</v>
      </c>
      <c r="E36" s="911"/>
      <c r="F36" s="911"/>
      <c r="G36" s="911"/>
      <c r="H36" s="911"/>
      <c r="I36" s="911"/>
      <c r="J36" s="911"/>
      <c r="K36" s="1120"/>
      <c r="L36" s="1120"/>
      <c r="M36" s="1120"/>
      <c r="N36" s="1120"/>
      <c r="O36" s="1120"/>
      <c r="P36" s="1120"/>
      <c r="Q36" s="1120"/>
      <c r="R36" s="1120"/>
      <c r="S36" s="1120"/>
      <c r="T36" s="1120"/>
      <c r="U36" s="1120"/>
      <c r="V36" s="1120"/>
      <c r="W36" s="1120"/>
      <c r="X36" s="1120"/>
      <c r="Y36" s="1120"/>
      <c r="Z36" s="1121"/>
    </row>
    <row r="37" spans="1:42" ht="13.5" thickBot="1" x14ac:dyDescent="0.25">
      <c r="A37" s="1105" t="s">
        <v>85</v>
      </c>
      <c r="B37" s="1106"/>
      <c r="C37" s="1106"/>
      <c r="D37" s="1106"/>
      <c r="E37" s="1106"/>
      <c r="F37" s="1106"/>
      <c r="G37" s="1106"/>
      <c r="H37" s="1106"/>
      <c r="I37" s="1106"/>
      <c r="J37" s="1106"/>
      <c r="K37" s="1106"/>
      <c r="L37" s="1106"/>
      <c r="M37" s="1106"/>
      <c r="N37" s="1106"/>
      <c r="O37" s="1106"/>
      <c r="P37" s="1106"/>
      <c r="Q37" s="1106"/>
      <c r="R37" s="1106"/>
      <c r="S37" s="1106"/>
      <c r="T37" s="1106"/>
      <c r="U37" s="1106"/>
      <c r="V37" s="1106"/>
      <c r="W37" s="1106"/>
      <c r="X37" s="1106"/>
      <c r="Y37" s="1106"/>
      <c r="Z37" s="1107"/>
    </row>
    <row r="38" spans="1:42" ht="13.5" thickBot="1" x14ac:dyDescent="0.25">
      <c r="A38" s="1122" t="s">
        <v>86</v>
      </c>
      <c r="B38" s="904"/>
      <c r="C38" s="904"/>
      <c r="D38" s="904"/>
      <c r="E38" s="1103" t="str">
        <f>IF(I27="X",M35,"")</f>
        <v/>
      </c>
      <c r="F38" s="1103"/>
      <c r="G38" s="1103"/>
      <c r="H38" s="1103"/>
      <c r="I38" s="1103"/>
      <c r="J38" s="1103"/>
      <c r="K38" s="1103"/>
      <c r="L38" s="1103"/>
      <c r="M38" s="1103"/>
      <c r="N38" s="1103"/>
      <c r="O38" s="1103"/>
      <c r="P38" s="1103"/>
      <c r="Q38" s="1103"/>
      <c r="R38" s="1103"/>
      <c r="S38" s="1103"/>
      <c r="T38" s="1103"/>
      <c r="U38" s="1103"/>
      <c r="V38" s="1103"/>
      <c r="W38" s="1103"/>
      <c r="X38" s="1103"/>
      <c r="Y38" s="1103"/>
      <c r="Z38" s="1104"/>
    </row>
    <row r="39" spans="1:42" ht="13.5" thickBot="1" x14ac:dyDescent="0.25">
      <c r="A39" s="1105" t="s">
        <v>88</v>
      </c>
      <c r="B39" s="1106"/>
      <c r="C39" s="1106"/>
      <c r="D39" s="1106"/>
      <c r="E39" s="1106"/>
      <c r="F39" s="1106"/>
      <c r="G39" s="1106"/>
      <c r="H39" s="1106"/>
      <c r="I39" s="1106"/>
      <c r="J39" s="1106"/>
      <c r="K39" s="1106"/>
      <c r="L39" s="1106"/>
      <c r="M39" s="1106"/>
      <c r="N39" s="1106"/>
      <c r="O39" s="1106"/>
      <c r="P39" s="1106"/>
      <c r="Q39" s="1106"/>
      <c r="R39" s="1106"/>
      <c r="S39" s="1106"/>
      <c r="T39" s="1106"/>
      <c r="U39" s="1106"/>
      <c r="V39" s="1106"/>
      <c r="W39" s="1106"/>
      <c r="X39" s="1106"/>
      <c r="Y39" s="1106"/>
      <c r="Z39" s="1107"/>
    </row>
    <row r="40" spans="1:42" x14ac:dyDescent="0.2">
      <c r="A40" s="1113" t="s">
        <v>89</v>
      </c>
      <c r="B40" s="905"/>
      <c r="C40" s="905"/>
      <c r="D40" s="1114"/>
      <c r="E40" s="1114"/>
      <c r="F40" s="1114"/>
      <c r="G40" s="1114"/>
      <c r="H40" s="1114"/>
      <c r="I40" s="1114"/>
      <c r="J40" s="1114"/>
      <c r="K40" s="1114"/>
      <c r="L40" s="1114"/>
      <c r="M40" s="1114"/>
      <c r="N40" s="1114"/>
      <c r="O40" s="1114"/>
      <c r="P40" s="1114"/>
      <c r="Q40" s="1114"/>
      <c r="R40" s="1114"/>
      <c r="S40" s="1114"/>
      <c r="T40" s="1114"/>
      <c r="U40" s="1114"/>
      <c r="V40" s="1114"/>
      <c r="W40" s="1114"/>
      <c r="X40" s="1114"/>
      <c r="Y40" s="1114"/>
      <c r="Z40" s="1115"/>
    </row>
    <row r="41" spans="1:42" ht="13.5" thickBot="1" x14ac:dyDescent="0.25">
      <c r="A41" s="1116" t="s">
        <v>90</v>
      </c>
      <c r="B41" s="900"/>
      <c r="C41" s="900"/>
      <c r="D41" s="900"/>
      <c r="E41" s="1117"/>
      <c r="F41" s="1117"/>
      <c r="G41" s="1117"/>
      <c r="H41" s="1117"/>
      <c r="I41" s="1117"/>
      <c r="J41" s="1117"/>
      <c r="K41" s="1117"/>
      <c r="L41" s="1117"/>
      <c r="M41" s="1117"/>
      <c r="N41" s="1117"/>
      <c r="O41" s="1117"/>
      <c r="P41" s="1117"/>
      <c r="Q41" s="1117"/>
      <c r="R41" s="1117"/>
      <c r="S41" s="1117"/>
      <c r="T41" s="1117"/>
      <c r="U41" s="1117"/>
      <c r="V41" s="1117"/>
      <c r="W41" s="1117"/>
      <c r="X41" s="1117"/>
      <c r="Y41" s="1117"/>
      <c r="Z41" s="1118"/>
    </row>
    <row r="42" spans="1:42" ht="13.5" thickBot="1" x14ac:dyDescent="0.25">
      <c r="A42" s="1105" t="s">
        <v>91</v>
      </c>
      <c r="B42" s="1106"/>
      <c r="C42" s="1106"/>
      <c r="D42" s="1106"/>
      <c r="E42" s="1106"/>
      <c r="F42" s="1106"/>
      <c r="G42" s="1106"/>
      <c r="H42" s="1106"/>
      <c r="I42" s="1106"/>
      <c r="J42" s="1106"/>
      <c r="K42" s="1106"/>
      <c r="L42" s="1106"/>
      <c r="M42" s="1106"/>
      <c r="N42" s="1106"/>
      <c r="O42" s="1106"/>
      <c r="P42" s="1106"/>
      <c r="Q42" s="1106"/>
      <c r="R42" s="1106"/>
      <c r="S42" s="1106"/>
      <c r="T42" s="1106"/>
      <c r="U42" s="1106"/>
      <c r="V42" s="1106"/>
      <c r="W42" s="1106"/>
      <c r="X42" s="1106"/>
      <c r="Y42" s="1106"/>
      <c r="Z42" s="1107"/>
    </row>
    <row r="43" spans="1:42" ht="13.5" thickBot="1" x14ac:dyDescent="0.25">
      <c r="A43" s="1102" t="s">
        <v>92</v>
      </c>
      <c r="B43" s="902"/>
      <c r="C43" s="902"/>
      <c r="D43" s="902"/>
      <c r="E43" s="1103"/>
      <c r="F43" s="1103"/>
      <c r="G43" s="1103"/>
      <c r="H43" s="1103"/>
      <c r="I43" s="1103"/>
      <c r="J43" s="1103"/>
      <c r="K43" s="1103"/>
      <c r="L43" s="1103"/>
      <c r="M43" s="1103"/>
      <c r="N43" s="1103"/>
      <c r="O43" s="1103"/>
      <c r="P43" s="1103"/>
      <c r="Q43" s="1103"/>
      <c r="R43" s="1103"/>
      <c r="S43" s="1103"/>
      <c r="T43" s="1103"/>
      <c r="U43" s="1103"/>
      <c r="V43" s="1103"/>
      <c r="W43" s="1103"/>
      <c r="X43" s="1103"/>
      <c r="Y43" s="1103"/>
      <c r="Z43" s="1104"/>
    </row>
    <row r="44" spans="1:42" ht="13.5" thickBot="1" x14ac:dyDescent="0.25">
      <c r="A44" s="1105" t="s">
        <v>93</v>
      </c>
      <c r="B44" s="1106"/>
      <c r="C44" s="1106"/>
      <c r="D44" s="1106"/>
      <c r="E44" s="1106"/>
      <c r="F44" s="1106"/>
      <c r="G44" s="1106"/>
      <c r="H44" s="1106"/>
      <c r="I44" s="1106"/>
      <c r="J44" s="1106"/>
      <c r="K44" s="1106"/>
      <c r="L44" s="1106"/>
      <c r="M44" s="1106"/>
      <c r="N44" s="1106"/>
      <c r="O44" s="1106"/>
      <c r="P44" s="1106"/>
      <c r="Q44" s="1106"/>
      <c r="R44" s="1106"/>
      <c r="S44" s="1106"/>
      <c r="T44" s="1106"/>
      <c r="U44" s="1106"/>
      <c r="V44" s="1106"/>
      <c r="W44" s="1106"/>
      <c r="X44" s="1106"/>
      <c r="Y44" s="1106"/>
      <c r="Z44" s="1107"/>
    </row>
    <row r="45" spans="1:42" ht="8.85" customHeight="1" thickBot="1" x14ac:dyDescent="0.25">
      <c r="A45" s="1108" t="s">
        <v>94</v>
      </c>
      <c r="B45" s="881"/>
      <c r="C45" s="881"/>
      <c r="D45" s="881"/>
      <c r="E45" s="881"/>
      <c r="F45" s="881"/>
      <c r="G45" s="881"/>
      <c r="H45" s="881"/>
      <c r="I45" s="881"/>
      <c r="J45" s="881"/>
      <c r="K45" s="881"/>
      <c r="L45" s="881"/>
      <c r="M45" s="881"/>
      <c r="N45" s="881"/>
      <c r="O45" s="881"/>
      <c r="P45" s="881"/>
      <c r="Q45" s="881"/>
      <c r="R45" s="881"/>
      <c r="S45" s="881"/>
      <c r="T45" s="881"/>
      <c r="U45" s="881"/>
      <c r="V45" s="881"/>
      <c r="W45" s="881"/>
      <c r="X45" s="881"/>
      <c r="Y45" s="881"/>
      <c r="Z45" s="1109"/>
    </row>
    <row r="46" spans="1:42" ht="8.85" customHeight="1" thickBot="1" x14ac:dyDescent="0.25">
      <c r="A46" s="1108"/>
      <c r="B46" s="881"/>
      <c r="C46" s="881"/>
      <c r="D46" s="881"/>
      <c r="E46" s="881"/>
      <c r="F46" s="881"/>
      <c r="G46" s="881"/>
      <c r="H46" s="881"/>
      <c r="I46" s="881"/>
      <c r="J46" s="881"/>
      <c r="K46" s="881"/>
      <c r="L46" s="881"/>
      <c r="M46" s="881"/>
      <c r="N46" s="881"/>
      <c r="O46" s="881"/>
      <c r="P46" s="881"/>
      <c r="Q46" s="881"/>
      <c r="R46" s="881"/>
      <c r="S46" s="881"/>
      <c r="T46" s="881"/>
      <c r="U46" s="881"/>
      <c r="V46" s="881"/>
      <c r="W46" s="881"/>
      <c r="X46" s="881"/>
      <c r="Y46" s="881"/>
      <c r="Z46" s="1109"/>
    </row>
    <row r="47" spans="1:42" ht="9.75" customHeight="1" x14ac:dyDescent="0.2">
      <c r="A47" s="1108"/>
      <c r="B47" s="881"/>
      <c r="C47" s="881"/>
      <c r="D47" s="881"/>
      <c r="E47" s="881"/>
      <c r="F47" s="881"/>
      <c r="G47" s="881"/>
      <c r="H47" s="881"/>
      <c r="I47" s="881"/>
      <c r="J47" s="881"/>
      <c r="K47" s="881"/>
      <c r="L47" s="881"/>
      <c r="M47" s="881"/>
      <c r="N47" s="881"/>
      <c r="O47" s="881"/>
      <c r="P47" s="881"/>
      <c r="Q47" s="881"/>
      <c r="R47" s="881"/>
      <c r="S47" s="881"/>
      <c r="T47" s="881"/>
      <c r="U47" s="881"/>
      <c r="V47" s="881"/>
      <c r="W47" s="881"/>
      <c r="X47" s="881"/>
      <c r="Y47" s="881"/>
      <c r="Z47" s="1109"/>
    </row>
    <row r="48" spans="1:42" x14ac:dyDescent="0.2">
      <c r="A48" s="703"/>
      <c r="B48" s="55"/>
      <c r="C48" s="55"/>
      <c r="D48" s="55"/>
      <c r="E48" s="55"/>
      <c r="F48" s="55"/>
      <c r="G48" s="55"/>
      <c r="H48" s="55"/>
      <c r="I48" s="55"/>
      <c r="J48" s="55"/>
      <c r="K48" s="882"/>
      <c r="L48" s="882"/>
      <c r="M48" s="882"/>
      <c r="N48" s="56" t="s">
        <v>95</v>
      </c>
      <c r="O48" s="56"/>
      <c r="P48" s="56"/>
      <c r="Q48" s="658"/>
      <c r="R48" s="58" t="s">
        <v>13</v>
      </c>
      <c r="S48" s="1110"/>
      <c r="T48" s="1110"/>
      <c r="U48" s="1110"/>
      <c r="V48" s="1110"/>
      <c r="W48" s="1110"/>
      <c r="X48" s="58" t="s">
        <v>13</v>
      </c>
      <c r="Y48" s="1111"/>
      <c r="Z48" s="1112"/>
    </row>
    <row r="49" spans="1:38" x14ac:dyDescent="0.2">
      <c r="A49" s="1099" t="s">
        <v>96</v>
      </c>
      <c r="B49" s="883"/>
      <c r="C49" s="883"/>
      <c r="D49" s="883"/>
      <c r="E49" s="883"/>
      <c r="F49" s="883"/>
      <c r="G49" s="883"/>
      <c r="H49" s="883"/>
      <c r="I49" s="59"/>
      <c r="J49" s="59"/>
      <c r="K49" s="59"/>
      <c r="L49" s="60"/>
      <c r="M49" s="884" t="s">
        <v>97</v>
      </c>
      <c r="N49" s="884"/>
      <c r="O49" s="884"/>
      <c r="P49" s="884"/>
      <c r="Q49" s="884"/>
      <c r="R49" s="884"/>
      <c r="S49" s="884"/>
      <c r="T49" s="884"/>
      <c r="U49" s="59"/>
      <c r="V49" s="59"/>
      <c r="W49" s="59"/>
      <c r="X49" s="59"/>
      <c r="Y49" s="59"/>
      <c r="Z49" s="704"/>
    </row>
    <row r="50" spans="1:38" x14ac:dyDescent="0.2">
      <c r="A50" s="705"/>
      <c r="B50" s="63"/>
      <c r="C50" s="63"/>
      <c r="D50" s="63"/>
      <c r="E50" s="63"/>
      <c r="F50" s="63"/>
      <c r="G50" s="63"/>
      <c r="H50" s="63"/>
      <c r="I50" s="63"/>
      <c r="J50" s="63"/>
      <c r="K50" s="63"/>
      <c r="L50" s="64"/>
      <c r="M50" s="65"/>
      <c r="N50" s="63"/>
      <c r="O50" s="63"/>
      <c r="P50" s="63"/>
      <c r="Q50" s="63"/>
      <c r="R50" s="63"/>
      <c r="S50" s="63"/>
      <c r="T50" s="63"/>
      <c r="U50" s="63"/>
      <c r="V50" s="63"/>
      <c r="W50" s="63"/>
      <c r="X50" s="63"/>
      <c r="Y50" s="63"/>
      <c r="Z50" s="706"/>
    </row>
    <row r="51" spans="1:38" x14ac:dyDescent="0.2">
      <c r="A51" s="703"/>
      <c r="B51" s="893" t="s">
        <v>98</v>
      </c>
      <c r="C51" s="893"/>
      <c r="D51" s="893"/>
      <c r="E51" s="893"/>
      <c r="F51" s="893"/>
      <c r="G51" s="893"/>
      <c r="H51" s="893"/>
      <c r="I51" s="893"/>
      <c r="J51" s="893"/>
      <c r="K51" s="893"/>
      <c r="L51" s="67"/>
      <c r="M51" s="68"/>
      <c r="N51" s="893" t="s">
        <v>99</v>
      </c>
      <c r="O51" s="893"/>
      <c r="P51" s="893"/>
      <c r="Q51" s="893"/>
      <c r="R51" s="893"/>
      <c r="S51" s="893"/>
      <c r="T51" s="893"/>
      <c r="U51" s="893"/>
      <c r="V51" s="893"/>
      <c r="W51" s="893"/>
      <c r="X51" s="893"/>
      <c r="Y51" s="893"/>
      <c r="Z51" s="707"/>
    </row>
    <row r="52" spans="1:38" ht="13.5" thickBot="1" x14ac:dyDescent="0.25">
      <c r="A52" s="708"/>
      <c r="B52" s="71"/>
      <c r="C52" s="71"/>
      <c r="D52" s="71"/>
      <c r="E52" s="71"/>
      <c r="F52" s="71"/>
      <c r="G52" s="71"/>
      <c r="H52" s="71"/>
      <c r="I52" s="71"/>
      <c r="J52" s="71"/>
      <c r="K52" s="71"/>
      <c r="L52" s="72"/>
      <c r="M52" s="73"/>
      <c r="N52" s="71"/>
      <c r="O52" s="71"/>
      <c r="P52" s="71"/>
      <c r="Q52" s="71"/>
      <c r="R52" s="71"/>
      <c r="S52" s="71"/>
      <c r="T52" s="71"/>
      <c r="U52" s="71"/>
      <c r="V52" s="71"/>
      <c r="W52" s="71"/>
      <c r="X52" s="71"/>
      <c r="Y52" s="71"/>
      <c r="Z52" s="709"/>
    </row>
    <row r="53" spans="1:38" ht="13.5" thickBot="1" x14ac:dyDescent="0.25">
      <c r="A53" s="1100" t="s">
        <v>15</v>
      </c>
      <c r="B53" s="895"/>
      <c r="C53" s="895"/>
      <c r="D53" s="895"/>
      <c r="E53" s="895"/>
      <c r="F53" s="895"/>
      <c r="G53" s="895"/>
      <c r="H53" s="895"/>
      <c r="I53" s="895"/>
      <c r="J53" s="895"/>
      <c r="K53" s="895"/>
      <c r="L53" s="895"/>
      <c r="M53" s="895"/>
      <c r="N53" s="895"/>
      <c r="O53" s="895"/>
      <c r="P53" s="895"/>
      <c r="Q53" s="895"/>
      <c r="R53" s="895"/>
      <c r="S53" s="895"/>
      <c r="T53" s="895"/>
      <c r="U53" s="895"/>
      <c r="V53" s="895"/>
      <c r="W53" s="895"/>
      <c r="X53" s="895"/>
      <c r="Y53" s="895"/>
      <c r="Z53" s="1101"/>
    </row>
    <row r="54" spans="1:38" x14ac:dyDescent="0.2">
      <c r="A54" s="897" t="s">
        <v>12</v>
      </c>
      <c r="B54" s="898"/>
      <c r="C54" s="898"/>
      <c r="D54" s="526"/>
      <c r="E54" s="494" t="s">
        <v>13</v>
      </c>
      <c r="F54" s="875"/>
      <c r="G54" s="875"/>
      <c r="H54" s="875"/>
      <c r="I54" s="494" t="s">
        <v>13</v>
      </c>
      <c r="J54" s="876"/>
      <c r="K54" s="876"/>
      <c r="L54" s="495"/>
      <c r="M54" s="877"/>
      <c r="N54" s="878"/>
      <c r="O54" s="878"/>
      <c r="P54" s="495"/>
      <c r="Q54" s="494"/>
      <c r="R54" s="879"/>
      <c r="S54" s="879"/>
      <c r="T54" s="879"/>
      <c r="U54" s="494"/>
      <c r="V54" s="880"/>
      <c r="W54" s="880"/>
      <c r="X54" s="880"/>
      <c r="Y54" s="880"/>
      <c r="Z54" s="496"/>
      <c r="AA54" s="502"/>
      <c r="AB54" s="502"/>
      <c r="AC54" s="2"/>
      <c r="AD54" s="2"/>
      <c r="AE54" s="2"/>
      <c r="AF54" s="2"/>
      <c r="AG54" s="2"/>
      <c r="AH54" s="2"/>
      <c r="AI54" s="2"/>
      <c r="AJ54" s="2"/>
      <c r="AK54" s="2"/>
      <c r="AL54" s="2"/>
    </row>
    <row r="55" spans="1:38" x14ac:dyDescent="0.2">
      <c r="A55" s="497"/>
      <c r="B55" s="495"/>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6"/>
      <c r="AA55" s="502"/>
      <c r="AB55" s="502"/>
      <c r="AC55" s="2"/>
      <c r="AD55" s="2"/>
      <c r="AE55" s="2"/>
      <c r="AF55" s="2"/>
      <c r="AG55" s="2"/>
      <c r="AH55" s="2"/>
      <c r="AI55" s="2"/>
      <c r="AJ55" s="2"/>
      <c r="AK55" s="2"/>
      <c r="AL55" s="2"/>
    </row>
    <row r="56" spans="1:38" x14ac:dyDescent="0.2">
      <c r="A56" s="497"/>
      <c r="B56" s="495"/>
      <c r="C56" s="495"/>
      <c r="D56" s="495"/>
      <c r="E56" s="495"/>
      <c r="F56" s="495"/>
      <c r="G56" s="495"/>
      <c r="H56" s="495"/>
      <c r="I56" s="498"/>
      <c r="J56" s="498"/>
      <c r="K56" s="498"/>
      <c r="L56" s="498"/>
      <c r="M56" s="498"/>
      <c r="N56" s="498"/>
      <c r="O56" s="498"/>
      <c r="P56" s="498"/>
      <c r="Q56" s="498"/>
      <c r="R56" s="498"/>
      <c r="S56" s="495"/>
      <c r="T56" s="495"/>
      <c r="U56" s="495"/>
      <c r="V56" s="495"/>
      <c r="W56" s="495"/>
      <c r="X56" s="495"/>
      <c r="Y56" s="495"/>
      <c r="Z56" s="496"/>
      <c r="AA56" s="502"/>
      <c r="AB56" s="502"/>
      <c r="AC56" s="2"/>
      <c r="AD56" s="2"/>
      <c r="AE56" s="2"/>
      <c r="AF56" s="2"/>
      <c r="AG56" s="2"/>
      <c r="AH56" s="2"/>
      <c r="AI56" s="2"/>
      <c r="AJ56" s="2"/>
      <c r="AK56" s="2"/>
      <c r="AL56" s="2"/>
    </row>
    <row r="57" spans="1:38" ht="13.5" thickBot="1" x14ac:dyDescent="0.25">
      <c r="A57" s="499"/>
      <c r="B57" s="500"/>
      <c r="C57" s="500"/>
      <c r="D57" s="500"/>
      <c r="E57" s="500"/>
      <c r="F57" s="500"/>
      <c r="G57" s="500"/>
      <c r="H57" s="500"/>
      <c r="I57" s="937" t="s">
        <v>16</v>
      </c>
      <c r="J57" s="937"/>
      <c r="K57" s="937"/>
      <c r="L57" s="937"/>
      <c r="M57" s="937"/>
      <c r="N57" s="937"/>
      <c r="O57" s="937"/>
      <c r="P57" s="937"/>
      <c r="Q57" s="937"/>
      <c r="R57" s="937"/>
      <c r="S57" s="500"/>
      <c r="T57" s="500"/>
      <c r="U57" s="500"/>
      <c r="V57" s="500"/>
      <c r="W57" s="500"/>
      <c r="X57" s="500"/>
      <c r="Y57" s="500"/>
      <c r="Z57" s="501"/>
      <c r="AA57" s="502"/>
      <c r="AB57" s="502"/>
      <c r="AC57" s="2"/>
      <c r="AD57" s="2"/>
      <c r="AE57" s="2"/>
      <c r="AF57" s="2"/>
      <c r="AG57" s="2"/>
      <c r="AH57" s="2"/>
      <c r="AI57" s="2"/>
      <c r="AJ57" s="2"/>
      <c r="AK57" s="2"/>
      <c r="AL57" s="2"/>
    </row>
    <row r="58" spans="1:38" ht="12.95" customHeight="1" thickBot="1" x14ac:dyDescent="0.25">
      <c r="A58" s="887" t="s">
        <v>789</v>
      </c>
      <c r="B58" s="888"/>
      <c r="C58" s="888"/>
      <c r="D58" s="888"/>
      <c r="E58" s="888"/>
      <c r="F58" s="888"/>
      <c r="G58" s="888"/>
      <c r="H58" s="888"/>
      <c r="I58" s="888"/>
      <c r="J58" s="888"/>
      <c r="K58" s="888"/>
      <c r="L58" s="888"/>
      <c r="M58" s="888"/>
      <c r="N58" s="888"/>
      <c r="O58" s="888"/>
      <c r="P58" s="888"/>
      <c r="Q58" s="888"/>
      <c r="R58" s="888"/>
      <c r="S58" s="888"/>
      <c r="T58" s="888"/>
      <c r="U58" s="888"/>
      <c r="V58" s="888"/>
      <c r="W58" s="888"/>
      <c r="X58" s="888"/>
      <c r="Y58" s="888"/>
      <c r="Z58" s="889"/>
      <c r="AA58" s="502"/>
      <c r="AB58" s="502"/>
      <c r="AC58" s="2"/>
      <c r="AD58" s="2"/>
      <c r="AE58" s="2"/>
      <c r="AF58" s="2"/>
      <c r="AG58" s="2"/>
      <c r="AH58" s="2"/>
      <c r="AI58" s="2"/>
      <c r="AJ58" s="2"/>
      <c r="AK58" s="2"/>
      <c r="AL58" s="2"/>
    </row>
    <row r="59" spans="1:38" x14ac:dyDescent="0.2">
      <c r="A59" s="890"/>
      <c r="B59" s="891"/>
      <c r="C59" s="891"/>
      <c r="D59" s="891"/>
      <c r="E59" s="891"/>
      <c r="F59" s="891"/>
      <c r="G59" s="891"/>
      <c r="H59" s="891"/>
      <c r="I59" s="891"/>
      <c r="J59" s="891"/>
      <c r="K59" s="891"/>
      <c r="L59" s="891"/>
      <c r="M59" s="891"/>
      <c r="N59" s="891"/>
      <c r="O59" s="891"/>
      <c r="P59" s="891"/>
      <c r="Q59" s="891"/>
      <c r="R59" s="891"/>
      <c r="S59" s="891"/>
      <c r="T59" s="891"/>
      <c r="U59" s="891"/>
      <c r="V59" s="891"/>
      <c r="W59" s="891"/>
      <c r="X59" s="891"/>
      <c r="Y59" s="891"/>
      <c r="Z59" s="892"/>
      <c r="AA59" s="502"/>
      <c r="AB59" s="502"/>
      <c r="AC59" s="2"/>
      <c r="AD59" s="2"/>
      <c r="AE59" s="2"/>
      <c r="AF59" s="2"/>
      <c r="AG59" s="2"/>
      <c r="AH59" s="2"/>
      <c r="AI59" s="2"/>
      <c r="AJ59" s="2"/>
      <c r="AK59" s="2"/>
      <c r="AL59" s="2"/>
    </row>
    <row r="60" spans="1:38" ht="13.5" thickBot="1" x14ac:dyDescent="0.25">
      <c r="A60" s="527"/>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9"/>
      <c r="AA60" s="502"/>
      <c r="AB60" s="502"/>
      <c r="AC60" s="2"/>
      <c r="AD60" s="2"/>
      <c r="AE60" s="2"/>
      <c r="AF60" s="2"/>
      <c r="AG60" s="2"/>
      <c r="AH60" s="2"/>
      <c r="AI60" s="2"/>
      <c r="AJ60" s="2"/>
      <c r="AK60" s="2"/>
      <c r="AL60" s="2"/>
    </row>
  </sheetData>
  <sheetProtection selectLockedCells="1" selectUnlockedCells="1"/>
  <mergeCells count="77">
    <mergeCell ref="A5:Z5"/>
    <mergeCell ref="A6:Z6"/>
    <mergeCell ref="K7:P8"/>
    <mergeCell ref="A10:Z10"/>
    <mergeCell ref="A1:G1"/>
    <mergeCell ref="H1:Q1"/>
    <mergeCell ref="R1:Z1"/>
    <mergeCell ref="A4:Z4"/>
    <mergeCell ref="A3:Z3"/>
    <mergeCell ref="A11:Z11"/>
    <mergeCell ref="K12:P13"/>
    <mergeCell ref="A15:Z15"/>
    <mergeCell ref="A16:Z16"/>
    <mergeCell ref="A20:Z20"/>
    <mergeCell ref="H21:I21"/>
    <mergeCell ref="K17:P18"/>
    <mergeCell ref="F23:J23"/>
    <mergeCell ref="L23:M23"/>
    <mergeCell ref="O23:V23"/>
    <mergeCell ref="W23:X23"/>
    <mergeCell ref="F24:J24"/>
    <mergeCell ref="L24:M24"/>
    <mergeCell ref="O24:U24"/>
    <mergeCell ref="W24:X24"/>
    <mergeCell ref="F25:G25"/>
    <mergeCell ref="H25:Z25"/>
    <mergeCell ref="A26:Z26"/>
    <mergeCell ref="A27:H27"/>
    <mergeCell ref="A29:E29"/>
    <mergeCell ref="F29:J29"/>
    <mergeCell ref="L29:M29"/>
    <mergeCell ref="S29:T29"/>
    <mergeCell ref="F30:J30"/>
    <mergeCell ref="L30:M30"/>
    <mergeCell ref="O30:Q30"/>
    <mergeCell ref="R30:Z30"/>
    <mergeCell ref="A31:Z31"/>
    <mergeCell ref="A32:B32"/>
    <mergeCell ref="C32:Y32"/>
    <mergeCell ref="A33:Z33"/>
    <mergeCell ref="A34:C34"/>
    <mergeCell ref="K34:Z34"/>
    <mergeCell ref="A35:C35"/>
    <mergeCell ref="D35:L35"/>
    <mergeCell ref="M35:Z35"/>
    <mergeCell ref="A36:C36"/>
    <mergeCell ref="D36:J36"/>
    <mergeCell ref="K36:Z36"/>
    <mergeCell ref="A37:Z37"/>
    <mergeCell ref="A38:D38"/>
    <mergeCell ref="E38:Z38"/>
    <mergeCell ref="A39:Z39"/>
    <mergeCell ref="A40:C40"/>
    <mergeCell ref="D40:Z40"/>
    <mergeCell ref="A41:D41"/>
    <mergeCell ref="E41:Z41"/>
    <mergeCell ref="A42:Z42"/>
    <mergeCell ref="J54:K54"/>
    <mergeCell ref="M54:O54"/>
    <mergeCell ref="R54:T54"/>
    <mergeCell ref="A43:D43"/>
    <mergeCell ref="E43:Z43"/>
    <mergeCell ref="A44:Z44"/>
    <mergeCell ref="A45:Z47"/>
    <mergeCell ref="K48:M48"/>
    <mergeCell ref="S48:W48"/>
    <mergeCell ref="Y48:Z48"/>
    <mergeCell ref="V54:Y54"/>
    <mergeCell ref="I57:R57"/>
    <mergeCell ref="A58:Z59"/>
    <mergeCell ref="A49:H49"/>
    <mergeCell ref="M49:T49"/>
    <mergeCell ref="B51:K51"/>
    <mergeCell ref="N51:Y51"/>
    <mergeCell ref="A53:Z53"/>
    <mergeCell ref="A54:C54"/>
    <mergeCell ref="F54:H54"/>
  </mergeCells>
  <printOptions horizontalCentered="1"/>
  <pageMargins left="0.59055118110236227" right="0.27559055118110237" top="0.31496062992125984" bottom="0.39370078740157483" header="0.51181102362204722" footer="0.51181102362204722"/>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topLeftCell="A10" zoomScale="110" zoomScaleNormal="110" workbookViewId="0">
      <selection activeCell="L7" sqref="L7"/>
    </sheetView>
  </sheetViews>
  <sheetFormatPr defaultRowHeight="12.75" x14ac:dyDescent="0.2"/>
  <cols>
    <col min="2" max="2" width="11.5703125" customWidth="1"/>
    <col min="3" max="3" width="12.5703125" customWidth="1"/>
    <col min="4" max="4" width="9.42578125" customWidth="1"/>
    <col min="5" max="5" width="12.42578125" customWidth="1"/>
  </cols>
  <sheetData>
    <row r="1" spans="1:11" x14ac:dyDescent="0.2">
      <c r="A1" s="79" t="s">
        <v>275</v>
      </c>
    </row>
    <row r="3" spans="1:11" x14ac:dyDescent="0.2">
      <c r="A3" t="s">
        <v>276</v>
      </c>
      <c r="B3" t="e">
        <f>IT!B2</f>
        <v>#REF!</v>
      </c>
    </row>
    <row r="6" spans="1:11" x14ac:dyDescent="0.2">
      <c r="A6" t="s">
        <v>277</v>
      </c>
      <c r="B6" t="s">
        <v>278</v>
      </c>
    </row>
    <row r="7" spans="1:11" s="140" customFormat="1" ht="38.25" x14ac:dyDescent="0.2">
      <c r="B7" s="141" t="s">
        <v>279</v>
      </c>
      <c r="C7" s="142" t="s">
        <v>280</v>
      </c>
      <c r="D7" s="143" t="s">
        <v>281</v>
      </c>
      <c r="E7" s="142" t="s">
        <v>282</v>
      </c>
      <c r="F7" s="144"/>
      <c r="G7" s="144"/>
      <c r="H7" s="144"/>
      <c r="I7" s="144"/>
    </row>
    <row r="8" spans="1:11" x14ac:dyDescent="0.2">
      <c r="B8" s="145">
        <v>0</v>
      </c>
      <c r="C8" s="146">
        <v>6.2E-2</v>
      </c>
      <c r="D8" s="490">
        <v>0</v>
      </c>
      <c r="E8" s="491">
        <v>10.33</v>
      </c>
      <c r="G8" t="s">
        <v>283</v>
      </c>
    </row>
    <row r="9" spans="1:11" x14ac:dyDescent="0.2">
      <c r="B9" s="147">
        <v>4</v>
      </c>
      <c r="C9" s="148">
        <v>8.3000000000000004E-2</v>
      </c>
      <c r="D9" s="148">
        <v>300</v>
      </c>
      <c r="E9" s="149">
        <v>9.9600000000000009</v>
      </c>
      <c r="G9" t="s">
        <v>284</v>
      </c>
    </row>
    <row r="10" spans="1:11" x14ac:dyDescent="0.2">
      <c r="B10" s="147">
        <v>10</v>
      </c>
      <c r="C10" s="148">
        <v>0.125</v>
      </c>
      <c r="D10" s="148">
        <v>600</v>
      </c>
      <c r="E10" s="149">
        <v>9.59</v>
      </c>
      <c r="G10" t="s">
        <v>285</v>
      </c>
    </row>
    <row r="11" spans="1:11" x14ac:dyDescent="0.2">
      <c r="B11" s="147">
        <v>15</v>
      </c>
      <c r="C11" s="148">
        <v>0.17399999999999999</v>
      </c>
      <c r="D11" s="148">
        <v>900</v>
      </c>
      <c r="E11" s="149">
        <v>9.2200000000000006</v>
      </c>
    </row>
    <row r="12" spans="1:11" x14ac:dyDescent="0.2">
      <c r="B12" s="147">
        <v>20</v>
      </c>
      <c r="C12" s="148">
        <v>0.23799999999999999</v>
      </c>
      <c r="D12" s="148">
        <v>1200</v>
      </c>
      <c r="E12" s="149">
        <v>8.8800000000000008</v>
      </c>
      <c r="G12" t="s">
        <v>286</v>
      </c>
      <c r="H12" s="480" t="s">
        <v>287</v>
      </c>
      <c r="I12" s="481" t="s">
        <v>288</v>
      </c>
      <c r="J12" s="481" t="s">
        <v>289</v>
      </c>
      <c r="K12" s="480" t="s">
        <v>290</v>
      </c>
    </row>
    <row r="13" spans="1:11" x14ac:dyDescent="0.2">
      <c r="B13" s="482">
        <v>25</v>
      </c>
      <c r="C13" s="483">
        <v>0.32300000000000001</v>
      </c>
      <c r="D13" s="148">
        <v>1500</v>
      </c>
      <c r="E13" s="149">
        <v>8.5399999999999991</v>
      </c>
      <c r="H13" s="481" t="s">
        <v>291</v>
      </c>
      <c r="I13" s="481"/>
      <c r="J13" s="481"/>
      <c r="K13" s="481" t="s">
        <v>291</v>
      </c>
    </row>
    <row r="14" spans="1:11" x14ac:dyDescent="0.2">
      <c r="B14" s="147">
        <v>30</v>
      </c>
      <c r="C14" s="148">
        <v>0.433</v>
      </c>
      <c r="D14" s="148">
        <v>1800</v>
      </c>
      <c r="E14" s="149">
        <v>8.1999999999999993</v>
      </c>
      <c r="G14" t="s">
        <v>292</v>
      </c>
      <c r="H14" s="150">
        <f>E8</f>
        <v>10.33</v>
      </c>
      <c r="I14" t="s">
        <v>288</v>
      </c>
      <c r="J14" t="s">
        <v>289</v>
      </c>
      <c r="K14" s="151">
        <f>-C13</f>
        <v>-0.32300000000000001</v>
      </c>
    </row>
    <row r="15" spans="1:11" x14ac:dyDescent="0.2">
      <c r="B15" s="147">
        <v>40</v>
      </c>
      <c r="C15" s="148">
        <v>0.752</v>
      </c>
      <c r="D15" s="148">
        <v>2100</v>
      </c>
      <c r="E15" s="149">
        <v>7.89</v>
      </c>
      <c r="G15" t="s">
        <v>293</v>
      </c>
      <c r="H15" s="152" t="s">
        <v>287</v>
      </c>
      <c r="I15" s="76" t="s">
        <v>294</v>
      </c>
    </row>
    <row r="16" spans="1:11" x14ac:dyDescent="0.2">
      <c r="B16" s="147">
        <v>50</v>
      </c>
      <c r="C16" s="148">
        <v>1.258</v>
      </c>
      <c r="D16" s="148">
        <v>2400</v>
      </c>
      <c r="E16" s="149">
        <v>7.58</v>
      </c>
      <c r="H16" t="s">
        <v>291</v>
      </c>
    </row>
    <row r="17" spans="2:9" x14ac:dyDescent="0.2">
      <c r="B17" s="147">
        <v>60</v>
      </c>
      <c r="C17" s="148">
        <v>2.032</v>
      </c>
      <c r="D17" s="148">
        <v>2700</v>
      </c>
      <c r="E17" s="149">
        <v>7.31</v>
      </c>
      <c r="H17" s="152" t="s">
        <v>295</v>
      </c>
      <c r="I17" s="76" t="s">
        <v>296</v>
      </c>
    </row>
    <row r="18" spans="2:9" x14ac:dyDescent="0.2">
      <c r="B18" s="147">
        <v>80</v>
      </c>
      <c r="C18" s="148">
        <v>4.827</v>
      </c>
      <c r="D18" s="148">
        <v>3000</v>
      </c>
      <c r="E18" s="149">
        <v>7.03</v>
      </c>
      <c r="H18" t="s">
        <v>291</v>
      </c>
    </row>
    <row r="19" spans="2:9" x14ac:dyDescent="0.2">
      <c r="B19" s="153">
        <v>100</v>
      </c>
      <c r="C19" s="154">
        <v>10.332000000000001</v>
      </c>
      <c r="D19" s="154" t="s">
        <v>10</v>
      </c>
      <c r="E19" s="155" t="s">
        <v>10</v>
      </c>
      <c r="H19" t="s">
        <v>297</v>
      </c>
      <c r="I19" t="s">
        <v>298</v>
      </c>
    </row>
    <row r="20" spans="2:9" x14ac:dyDescent="0.2">
      <c r="H20" t="s">
        <v>299</v>
      </c>
      <c r="I20" t="s">
        <v>300</v>
      </c>
    </row>
    <row r="22" spans="2:9" x14ac:dyDescent="0.2">
      <c r="B22" t="s">
        <v>301</v>
      </c>
      <c r="C22" s="156">
        <f>IT!M180</f>
        <v>3</v>
      </c>
      <c r="D22" t="s">
        <v>302</v>
      </c>
    </row>
    <row r="23" spans="2:9" x14ac:dyDescent="0.2">
      <c r="B23" t="s">
        <v>286</v>
      </c>
      <c r="C23" s="487" t="s">
        <v>287</v>
      </c>
      <c r="D23" s="481" t="s">
        <v>288</v>
      </c>
      <c r="E23" s="481" t="s">
        <v>289</v>
      </c>
      <c r="F23" s="484" t="s">
        <v>290</v>
      </c>
    </row>
    <row r="24" spans="2:9" x14ac:dyDescent="0.2">
      <c r="C24" s="488" t="s">
        <v>291</v>
      </c>
      <c r="D24" s="481"/>
      <c r="E24" s="481"/>
      <c r="F24" s="485" t="s">
        <v>291</v>
      </c>
    </row>
    <row r="25" spans="2:9" x14ac:dyDescent="0.2">
      <c r="B25" t="s">
        <v>303</v>
      </c>
      <c r="C25" s="489">
        <f>E8</f>
        <v>10.33</v>
      </c>
      <c r="D25" s="157">
        <f>-IF('MC2'!B4="x",NBR!I5,IT!I5)</f>
        <v>-1.8499999999999999</v>
      </c>
      <c r="E25" s="157">
        <f>-IF('MC2'!B4="x",NBR!F75,IT!F75)</f>
        <v>-1.0338697526348286</v>
      </c>
      <c r="F25" s="486">
        <f>-C13</f>
        <v>-0.32300000000000001</v>
      </c>
    </row>
    <row r="26" spans="2:9" x14ac:dyDescent="0.2">
      <c r="B26" t="s">
        <v>303</v>
      </c>
      <c r="C26" s="158">
        <f>SUM(C25:F25)</f>
        <v>7.1231302473651716</v>
      </c>
    </row>
    <row r="27" spans="2:9" x14ac:dyDescent="0.2">
      <c r="B27" t="s">
        <v>304</v>
      </c>
    </row>
    <row r="28" spans="2:9" x14ac:dyDescent="0.2">
      <c r="B28" t="s">
        <v>305</v>
      </c>
      <c r="C28" t="str">
        <f>IF(B29&gt;D29,"é Maior","é Menor")</f>
        <v>é Maior</v>
      </c>
      <c r="D28" s="76" t="s">
        <v>306</v>
      </c>
      <c r="F28" t="s">
        <v>307</v>
      </c>
    </row>
    <row r="29" spans="2:9" x14ac:dyDescent="0.2">
      <c r="B29" s="158">
        <f>C26</f>
        <v>7.1231302473651716</v>
      </c>
      <c r="D29" s="158">
        <f>C22+0.5</f>
        <v>3.5</v>
      </c>
    </row>
    <row r="30" spans="2:9" x14ac:dyDescent="0.2">
      <c r="B30" t="s">
        <v>308</v>
      </c>
    </row>
    <row r="31" spans="2:9" x14ac:dyDescent="0.2">
      <c r="B31" s="1173" t="str">
        <f>CONCATENATE("O Sistema ",IF(B29&gt;D29,"não cavita","cavita e precisa ser redimencionado"))</f>
        <v>O Sistema não cavita</v>
      </c>
      <c r="C31" s="1173"/>
      <c r="D31" s="1173"/>
      <c r="E31" s="1173"/>
    </row>
    <row r="35" spans="3:5" x14ac:dyDescent="0.2">
      <c r="C35" t="e">
        <f>#REF!</f>
        <v>#REF!</v>
      </c>
    </row>
    <row r="36" spans="3:5" x14ac:dyDescent="0.2">
      <c r="C36" t="s">
        <v>812</v>
      </c>
      <c r="D36" s="1174" t="e">
        <f>#REF!</f>
        <v>#REF!</v>
      </c>
      <c r="E36" s="1174"/>
    </row>
  </sheetData>
  <sheetProtection selectLockedCells="1" selectUnlockedCells="1"/>
  <mergeCells count="2">
    <mergeCell ref="B31:E31"/>
    <mergeCell ref="D36:E36"/>
  </mergeCells>
  <conditionalFormatting sqref="C31:E31">
    <cfRule type="cellIs" dxfId="3" priority="1" stopIfTrue="1" operator="equal">
      <formula>"O Sistema não cavita"</formula>
    </cfRule>
    <cfRule type="cellIs" dxfId="2" priority="2" stopIfTrue="1" operator="notEqual">
      <formula>"O Sistema não cavita"</formula>
    </cfRule>
  </conditionalFormatting>
  <conditionalFormatting sqref="B31">
    <cfRule type="cellIs" dxfId="1" priority="3" stopIfTrue="1" operator="equal">
      <formula>"O Sistema não cavita"</formula>
    </cfRule>
    <cfRule type="cellIs" dxfId="0" priority="4" stopIfTrue="1" operator="notEqual">
      <formula>"O Sistema não cavita"</formula>
    </cfRule>
  </conditionalFormatting>
  <printOptions horizontalCentered="1"/>
  <pageMargins left="0.23622047244094491" right="0.23622047244094491" top="0.74803149606299213" bottom="0.74803149606299213" header="0.31496062992125984" footer="0.31496062992125984"/>
  <pageSetup paperSize="9" firstPageNumber="0" orientation="landscape" r:id="rId1"/>
  <headerFooter alignWithMargins="0"/>
  <drawing r:id="rId2"/>
  <legacyDrawing r:id="rId3"/>
  <oleObjects>
    <mc:AlternateContent xmlns:mc="http://schemas.openxmlformats.org/markup-compatibility/2006">
      <mc:Choice Requires="x14">
        <oleObject progId="Unknown" shapeId="7169" r:id="rId4">
          <objectPr defaultSize="0" r:id="rId5">
            <anchor moveWithCells="1" sizeWithCells="1">
              <from>
                <xdr:col>2</xdr:col>
                <xdr:colOff>504825</xdr:colOff>
                <xdr:row>31</xdr:row>
                <xdr:rowOff>123825</xdr:rowOff>
              </from>
              <to>
                <xdr:col>4</xdr:col>
                <xdr:colOff>381000</xdr:colOff>
                <xdr:row>33</xdr:row>
                <xdr:rowOff>142875</xdr:rowOff>
              </to>
            </anchor>
          </objectPr>
        </oleObject>
      </mc:Choice>
      <mc:Fallback>
        <oleObject progId="Unknown"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3"/>
  <sheetViews>
    <sheetView zoomScaleNormal="100" zoomScaleSheetLayoutView="100" workbookViewId="0">
      <selection sqref="A1:X1"/>
    </sheetView>
  </sheetViews>
  <sheetFormatPr defaultRowHeight="12.75" x14ac:dyDescent="0.2"/>
  <cols>
    <col min="1" max="24" width="3.5703125" customWidth="1"/>
  </cols>
  <sheetData>
    <row r="1" spans="1:24" x14ac:dyDescent="0.2">
      <c r="A1" s="1249" t="s">
        <v>17</v>
      </c>
      <c r="B1" s="1249"/>
      <c r="C1" s="1249"/>
      <c r="D1" s="1249"/>
      <c r="E1" s="1249"/>
      <c r="F1" s="1249"/>
      <c r="G1" s="1249"/>
      <c r="H1" s="1249"/>
      <c r="I1" s="1249"/>
      <c r="J1" s="1249"/>
      <c r="K1" s="1249"/>
      <c r="L1" s="1249"/>
      <c r="M1" s="1249"/>
      <c r="N1" s="1249"/>
      <c r="O1" s="1249"/>
      <c r="P1" s="1249"/>
      <c r="Q1" s="1249"/>
      <c r="R1" s="1249"/>
      <c r="S1" s="1249"/>
      <c r="T1" s="1249"/>
      <c r="U1" s="1249"/>
      <c r="V1" s="1249"/>
      <c r="W1" s="1249"/>
      <c r="X1" s="1249"/>
    </row>
    <row r="2" spans="1:24" ht="13.5" thickBot="1" x14ac:dyDescent="0.25">
      <c r="A2" s="1250" t="s">
        <v>0</v>
      </c>
      <c r="B2" s="1250"/>
      <c r="C2" s="1250"/>
      <c r="D2" s="1250"/>
      <c r="E2" s="1250"/>
      <c r="F2" s="1250"/>
      <c r="G2" s="1250"/>
      <c r="H2" s="1250"/>
      <c r="I2" s="1250"/>
      <c r="J2" s="1250"/>
      <c r="K2" s="1250"/>
      <c r="L2" s="1250"/>
      <c r="M2" s="1250"/>
      <c r="N2" s="1250"/>
      <c r="O2" s="1250"/>
      <c r="P2" s="1250"/>
      <c r="Q2" s="1250"/>
      <c r="R2" s="1250"/>
      <c r="S2" s="1250"/>
      <c r="T2" s="1250"/>
      <c r="U2" s="1250"/>
      <c r="V2" s="1250"/>
      <c r="W2" s="1250"/>
      <c r="X2" s="1250"/>
    </row>
    <row r="3" spans="1:24" ht="13.5" thickBot="1" x14ac:dyDescent="0.25">
      <c r="A3" s="1251" t="s">
        <v>1</v>
      </c>
      <c r="B3" s="1252"/>
      <c r="C3" s="1252"/>
      <c r="D3" s="1252"/>
      <c r="E3" s="1252"/>
      <c r="F3" s="1253" t="s">
        <v>621</v>
      </c>
      <c r="G3" s="1253"/>
      <c r="H3" s="1253"/>
      <c r="I3" s="1253"/>
      <c r="J3" s="1253"/>
      <c r="K3" s="1253"/>
      <c r="L3" s="1253"/>
      <c r="M3" s="1253"/>
      <c r="N3" s="1253"/>
      <c r="O3" s="1253"/>
      <c r="P3" s="1253"/>
      <c r="Q3" s="1253"/>
      <c r="R3" s="1253"/>
      <c r="S3" s="1253"/>
      <c r="T3" s="1254" t="s">
        <v>18</v>
      </c>
      <c r="U3" s="1254"/>
      <c r="V3" s="1254"/>
      <c r="W3" s="1254"/>
      <c r="X3" s="1255"/>
    </row>
    <row r="4" spans="1:24" ht="13.5" thickBot="1" x14ac:dyDescent="0.25">
      <c r="A4" s="1256" t="s">
        <v>2</v>
      </c>
      <c r="B4" s="1106"/>
      <c r="C4" s="1106"/>
      <c r="D4" s="1106"/>
      <c r="E4" s="1106"/>
      <c r="F4" s="1106"/>
      <c r="G4" s="1106"/>
      <c r="H4" s="1106"/>
      <c r="I4" s="1106"/>
      <c r="J4" s="1106"/>
      <c r="K4" s="1106"/>
      <c r="L4" s="1106"/>
      <c r="M4" s="1106"/>
      <c r="N4" s="1106"/>
      <c r="O4" s="1106"/>
      <c r="P4" s="1106"/>
      <c r="Q4" s="1106"/>
      <c r="R4" s="1106"/>
      <c r="S4" s="1106"/>
      <c r="T4" s="1106"/>
      <c r="U4" s="1106"/>
      <c r="V4" s="1106"/>
      <c r="W4" s="1106"/>
      <c r="X4" s="1257"/>
    </row>
    <row r="5" spans="1:24" x14ac:dyDescent="0.2">
      <c r="A5" s="1245" t="s">
        <v>3</v>
      </c>
      <c r="B5" s="1246"/>
      <c r="C5" s="1246"/>
      <c r="D5" s="1246"/>
      <c r="E5" s="1246"/>
      <c r="F5" s="1040" t="e">
        <f>#REF!</f>
        <v>#REF!</v>
      </c>
      <c r="G5" s="1040"/>
      <c r="H5" s="1040"/>
      <c r="I5" s="1040"/>
      <c r="J5" s="1040"/>
      <c r="K5" s="1040"/>
      <c r="L5" s="1040"/>
      <c r="M5" s="1040"/>
      <c r="N5" s="1040"/>
      <c r="O5" s="1040"/>
      <c r="P5" s="1040"/>
      <c r="Q5" s="1040"/>
      <c r="R5" s="1040"/>
      <c r="S5" s="1040"/>
      <c r="T5" s="1040"/>
      <c r="U5" s="1040"/>
      <c r="V5" s="1040"/>
      <c r="W5" s="1040"/>
      <c r="X5" s="1247"/>
    </row>
    <row r="6" spans="1:24" x14ac:dyDescent="0.2">
      <c r="A6" s="1072" t="s">
        <v>19</v>
      </c>
      <c r="B6" s="1248"/>
      <c r="C6" s="1248"/>
      <c r="D6" s="1248"/>
      <c r="E6" s="1239" t="e">
        <f>#REF!</f>
        <v>#REF!</v>
      </c>
      <c r="F6" s="1239"/>
      <c r="G6" s="1239"/>
      <c r="H6" s="1239"/>
      <c r="I6" s="1239"/>
      <c r="J6" s="1239"/>
      <c r="K6" s="1239"/>
      <c r="L6" s="1239"/>
      <c r="M6" s="1239"/>
      <c r="N6" s="1239"/>
      <c r="O6" s="1239"/>
      <c r="P6" s="1239"/>
      <c r="Q6" s="1073" t="s">
        <v>6</v>
      </c>
      <c r="R6" s="1073"/>
      <c r="S6" s="1239" t="e">
        <f>#REF!</f>
        <v>#REF!</v>
      </c>
      <c r="T6" s="1239"/>
      <c r="U6" s="1239"/>
      <c r="V6" s="1239"/>
      <c r="W6" s="1239"/>
      <c r="X6" s="1240"/>
    </row>
    <row r="7" spans="1:24" x14ac:dyDescent="0.2">
      <c r="A7" s="3" t="s">
        <v>20</v>
      </c>
      <c r="B7" s="1073" t="s">
        <v>4</v>
      </c>
      <c r="C7" s="1073"/>
      <c r="D7" s="5"/>
      <c r="E7" s="4" t="e">
        <f>#REF!</f>
        <v>#REF!</v>
      </c>
      <c r="F7" s="5"/>
      <c r="G7" s="5"/>
      <c r="H7" s="5"/>
      <c r="I7" s="5"/>
      <c r="J7" s="5"/>
      <c r="K7" s="5"/>
      <c r="L7" s="5"/>
      <c r="M7" s="5"/>
      <c r="Q7" s="1073" t="s">
        <v>5</v>
      </c>
      <c r="R7" s="1073"/>
      <c r="S7" s="1073"/>
      <c r="T7" s="1239" t="e">
        <f>#REF!</f>
        <v>#REF!</v>
      </c>
      <c r="U7" s="1239"/>
      <c r="V7" s="1239"/>
      <c r="W7" s="1239"/>
      <c r="X7" s="1240"/>
    </row>
    <row r="8" spans="1:24" x14ac:dyDescent="0.2">
      <c r="A8" s="1072" t="s">
        <v>21</v>
      </c>
      <c r="B8" s="1073"/>
      <c r="C8" s="1073"/>
      <c r="D8" s="1073"/>
      <c r="E8" s="1242" t="e">
        <f>#REF!</f>
        <v>#REF!</v>
      </c>
      <c r="F8" s="1239"/>
      <c r="G8" s="1239"/>
      <c r="H8" s="1239"/>
      <c r="I8" s="1239"/>
      <c r="J8" s="1239"/>
      <c r="K8" s="1239"/>
      <c r="L8" s="1239"/>
      <c r="M8" s="1239"/>
      <c r="N8" s="1239"/>
      <c r="O8" s="1239"/>
      <c r="P8" s="1239"/>
      <c r="Q8" s="1239"/>
      <c r="R8" s="1239"/>
      <c r="S8" s="1239"/>
      <c r="T8" s="1239"/>
      <c r="U8" s="1239"/>
      <c r="V8" s="1239"/>
      <c r="W8" s="1239"/>
      <c r="X8" s="1240"/>
    </row>
    <row r="9" spans="1:24" x14ac:dyDescent="0.2">
      <c r="A9" s="1072" t="s">
        <v>22</v>
      </c>
      <c r="B9" s="1073"/>
      <c r="C9" s="1073"/>
      <c r="D9" s="1073"/>
      <c r="E9" s="1073"/>
      <c r="F9" s="1073"/>
      <c r="G9" s="1243" t="e">
        <f>#REF!</f>
        <v>#REF!</v>
      </c>
      <c r="H9" s="1243"/>
      <c r="I9" s="1243"/>
      <c r="J9" s="1243"/>
      <c r="K9" s="1243"/>
      <c r="L9" s="1243"/>
      <c r="M9" s="1243"/>
      <c r="N9" s="1243"/>
      <c r="O9" s="1243"/>
      <c r="P9" s="1243"/>
      <c r="Q9" s="326" t="s">
        <v>23</v>
      </c>
      <c r="R9" s="326"/>
      <c r="S9" s="326"/>
      <c r="T9" s="326"/>
      <c r="U9" s="326"/>
      <c r="V9" s="1236" t="e">
        <f>#REF!</f>
        <v>#REF!</v>
      </c>
      <c r="W9" s="1236"/>
      <c r="X9" s="1244"/>
    </row>
    <row r="10" spans="1:24" ht="13.5" x14ac:dyDescent="0.2">
      <c r="A10" s="1067" t="s">
        <v>24</v>
      </c>
      <c r="B10" s="893"/>
      <c r="C10" s="893"/>
      <c r="D10" s="893"/>
      <c r="E10" s="893"/>
      <c r="F10" s="893"/>
      <c r="G10" s="893"/>
      <c r="H10" s="1236" t="e">
        <f>#REF!</f>
        <v>#REF!</v>
      </c>
      <c r="I10" s="1236"/>
      <c r="J10" s="1236"/>
      <c r="K10" s="326"/>
      <c r="L10" s="326"/>
      <c r="Q10" t="s">
        <v>25</v>
      </c>
      <c r="S10" s="1237" t="e">
        <f>#REF!</f>
        <v>#REF!</v>
      </c>
      <c r="T10" s="1237"/>
      <c r="U10" s="1237"/>
      <c r="W10" s="326"/>
      <c r="X10" s="8"/>
    </row>
    <row r="11" spans="1:24" ht="13.5" thickBot="1" x14ac:dyDescent="0.25">
      <c r="A11" s="1238" t="s">
        <v>26</v>
      </c>
      <c r="B11" s="1229"/>
      <c r="C11" s="1229"/>
      <c r="D11" s="1229"/>
      <c r="E11" s="1229"/>
      <c r="F11" s="1229"/>
      <c r="G11" s="1229"/>
      <c r="H11" s="1229"/>
      <c r="I11" s="1229"/>
      <c r="J11" s="1229"/>
      <c r="K11" s="1229"/>
      <c r="L11" s="1229"/>
      <c r="M11" s="1229"/>
      <c r="N11" s="1229"/>
      <c r="O11" s="1229"/>
      <c r="P11" s="1229"/>
      <c r="Q11" s="1229"/>
      <c r="R11" s="1229"/>
      <c r="S11" s="1229"/>
      <c r="T11" s="1239" t="e">
        <f>#REF!</f>
        <v>#REF!</v>
      </c>
      <c r="U11" s="1239"/>
      <c r="V11" s="1239"/>
      <c r="W11" s="1239"/>
      <c r="X11" s="1240"/>
    </row>
    <row r="12" spans="1:24" ht="13.5" thickBot="1" x14ac:dyDescent="0.25">
      <c r="A12" s="327" t="s">
        <v>622</v>
      </c>
      <c r="B12" s="323"/>
      <c r="C12" s="323"/>
      <c r="D12" s="328"/>
      <c r="E12" s="323" t="s">
        <v>623</v>
      </c>
      <c r="F12" s="317"/>
      <c r="G12" s="323"/>
      <c r="I12" s="328"/>
      <c r="J12" s="323" t="s">
        <v>624</v>
      </c>
      <c r="K12" s="323"/>
      <c r="L12" s="323"/>
      <c r="M12" s="323"/>
      <c r="N12" s="323"/>
      <c r="O12" s="323"/>
      <c r="P12" s="328"/>
      <c r="Q12" s="1241" t="s">
        <v>625</v>
      </c>
      <c r="R12" s="1229"/>
      <c r="S12" s="1229"/>
      <c r="T12" s="1229"/>
      <c r="U12" s="1229"/>
      <c r="V12" s="325"/>
      <c r="W12" s="325"/>
      <c r="X12" s="7"/>
    </row>
    <row r="13" spans="1:24" ht="13.5" thickBot="1" x14ac:dyDescent="0.25">
      <c r="A13" s="329" t="s">
        <v>626</v>
      </c>
      <c r="B13" s="330"/>
      <c r="C13" s="330"/>
      <c r="D13" s="331"/>
      <c r="E13" s="331"/>
      <c r="F13" s="331"/>
      <c r="G13" s="330"/>
      <c r="H13" s="330"/>
      <c r="I13" s="330"/>
      <c r="J13" s="330"/>
      <c r="K13" s="330"/>
      <c r="L13" s="330"/>
      <c r="M13" s="330"/>
      <c r="N13" s="330"/>
      <c r="O13" s="330"/>
      <c r="P13" s="330"/>
      <c r="Q13" s="330"/>
      <c r="R13" s="330"/>
      <c r="S13" s="330"/>
      <c r="T13" s="9"/>
      <c r="U13" s="9"/>
      <c r="V13" s="9"/>
      <c r="W13" s="9"/>
      <c r="X13" s="10"/>
    </row>
    <row r="14" spans="1:24" ht="13.5" thickBot="1" x14ac:dyDescent="0.25">
      <c r="A14" s="1212" t="s">
        <v>627</v>
      </c>
      <c r="B14" s="895"/>
      <c r="C14" s="895"/>
      <c r="D14" s="895"/>
      <c r="E14" s="895"/>
      <c r="F14" s="895"/>
      <c r="G14" s="895"/>
      <c r="H14" s="895"/>
      <c r="I14" s="895"/>
      <c r="J14" s="895"/>
      <c r="K14" s="895"/>
      <c r="L14" s="895"/>
      <c r="M14" s="895"/>
      <c r="N14" s="895"/>
      <c r="O14" s="895"/>
      <c r="P14" s="895"/>
      <c r="Q14" s="895"/>
      <c r="R14" s="895"/>
      <c r="S14" s="895"/>
      <c r="T14" s="895"/>
      <c r="U14" s="895"/>
      <c r="V14" s="895"/>
      <c r="W14" s="895"/>
      <c r="X14" s="1213"/>
    </row>
    <row r="15" spans="1:24" ht="13.5" thickBot="1" x14ac:dyDescent="0.25">
      <c r="A15" s="18" t="s">
        <v>628</v>
      </c>
      <c r="B15" s="332"/>
      <c r="C15" s="332"/>
      <c r="D15" s="332"/>
      <c r="E15" s="332"/>
      <c r="F15" s="333"/>
      <c r="I15" s="334"/>
      <c r="J15" s="335"/>
      <c r="K15" s="333"/>
      <c r="L15" s="15"/>
      <c r="M15" s="14" t="s">
        <v>629</v>
      </c>
      <c r="N15" s="14"/>
      <c r="O15" s="14"/>
      <c r="P15" s="19"/>
      <c r="Q15" s="22"/>
      <c r="R15" s="22"/>
      <c r="S15" s="22"/>
      <c r="T15" s="25"/>
      <c r="U15" s="25"/>
      <c r="V15" s="25"/>
      <c r="W15" s="25"/>
      <c r="X15" s="336"/>
    </row>
    <row r="16" spans="1:24" ht="13.5" thickBot="1" x14ac:dyDescent="0.25">
      <c r="A16" s="18" t="s">
        <v>630</v>
      </c>
      <c r="B16" s="19"/>
      <c r="C16" s="19"/>
      <c r="D16" s="19"/>
      <c r="E16" s="19"/>
      <c r="F16" s="19"/>
      <c r="G16" s="19"/>
      <c r="H16" s="19"/>
      <c r="I16" s="334"/>
      <c r="J16" s="335"/>
      <c r="K16" s="333"/>
      <c r="L16" s="15"/>
      <c r="M16" s="14" t="s">
        <v>631</v>
      </c>
      <c r="N16" s="14"/>
      <c r="O16" s="14"/>
      <c r="P16" s="333"/>
      <c r="Q16" s="14"/>
      <c r="R16" s="337"/>
      <c r="S16" s="338"/>
      <c r="T16" s="22"/>
      <c r="U16" s="22"/>
      <c r="V16" s="22"/>
      <c r="W16" s="22"/>
      <c r="X16" s="339"/>
    </row>
    <row r="17" spans="1:24" ht="13.5" thickBot="1" x14ac:dyDescent="0.25">
      <c r="A17" s="18" t="s">
        <v>632</v>
      </c>
      <c r="B17" s="19"/>
      <c r="C17" s="19"/>
      <c r="D17" s="19"/>
      <c r="E17" s="19"/>
      <c r="F17" s="19"/>
      <c r="G17" s="340"/>
      <c r="H17" s="19" t="s">
        <v>11</v>
      </c>
      <c r="I17" s="19"/>
      <c r="J17" s="340"/>
      <c r="K17" s="19" t="s">
        <v>8</v>
      </c>
      <c r="L17" s="341"/>
      <c r="M17" s="342" t="s">
        <v>633</v>
      </c>
      <c r="N17" s="343"/>
      <c r="O17" s="343"/>
      <c r="P17" s="333"/>
      <c r="Q17" s="322"/>
      <c r="R17" s="344"/>
      <c r="S17" s="345"/>
      <c r="U17" s="16"/>
      <c r="V17" s="16"/>
      <c r="W17" s="16"/>
      <c r="X17" s="17"/>
    </row>
    <row r="18" spans="1:24" ht="13.5" thickBot="1" x14ac:dyDescent="0.25">
      <c r="A18" s="18" t="s">
        <v>634</v>
      </c>
      <c r="B18" s="14"/>
      <c r="C18" s="14"/>
      <c r="D18" s="14"/>
      <c r="E18" s="14"/>
      <c r="F18" s="14"/>
      <c r="G18" s="346"/>
      <c r="H18" s="22" t="s">
        <v>11</v>
      </c>
      <c r="I18" s="14"/>
      <c r="J18" s="346"/>
      <c r="K18" s="342" t="s">
        <v>8</v>
      </c>
      <c r="L18" s="347"/>
      <c r="M18" s="342" t="s">
        <v>635</v>
      </c>
      <c r="N18" s="342"/>
      <c r="O18" s="342"/>
      <c r="P18" s="22"/>
      <c r="Q18" s="22"/>
      <c r="R18" s="348"/>
      <c r="S18" s="349"/>
      <c r="T18" s="16"/>
      <c r="U18" s="322"/>
      <c r="V18" s="322"/>
      <c r="W18" s="350"/>
      <c r="X18" s="316"/>
    </row>
    <row r="19" spans="1:24" ht="13.5" thickBot="1" x14ac:dyDescent="0.25">
      <c r="A19" s="18" t="s">
        <v>636</v>
      </c>
      <c r="B19" s="14"/>
      <c r="C19" s="14"/>
      <c r="D19" s="14"/>
      <c r="E19" s="14"/>
      <c r="F19" s="14"/>
      <c r="G19" s="346"/>
      <c r="H19" s="22" t="s">
        <v>11</v>
      </c>
      <c r="I19" s="14"/>
      <c r="J19" s="346"/>
      <c r="K19" s="342" t="s">
        <v>8</v>
      </c>
      <c r="L19" s="347"/>
      <c r="M19" s="342" t="s">
        <v>637</v>
      </c>
      <c r="N19" s="342"/>
      <c r="O19" s="342"/>
      <c r="P19" s="22"/>
      <c r="Q19" s="22"/>
      <c r="R19" s="348"/>
      <c r="S19" s="349"/>
      <c r="T19" s="322"/>
      <c r="U19" s="22"/>
      <c r="V19" s="22"/>
      <c r="W19" s="350"/>
      <c r="X19" s="316"/>
    </row>
    <row r="20" spans="1:24" ht="13.5" thickBot="1" x14ac:dyDescent="0.25">
      <c r="A20" s="18" t="s">
        <v>638</v>
      </c>
      <c r="B20" s="20"/>
      <c r="C20" s="20"/>
      <c r="D20" s="20"/>
      <c r="E20" s="20"/>
      <c r="F20" s="20"/>
      <c r="G20" s="351"/>
      <c r="H20" s="20" t="s">
        <v>11</v>
      </c>
      <c r="I20" s="20"/>
      <c r="J20" s="351"/>
      <c r="K20" s="315" t="s">
        <v>8</v>
      </c>
      <c r="L20" s="352"/>
      <c r="M20" s="20" t="s">
        <v>639</v>
      </c>
      <c r="N20" s="20"/>
      <c r="O20" s="20"/>
      <c r="P20" s="20"/>
      <c r="Q20" s="20"/>
      <c r="R20" s="353"/>
      <c r="S20" s="354"/>
      <c r="T20" s="22"/>
      <c r="U20" s="22"/>
      <c r="V20" s="22"/>
      <c r="W20" s="355"/>
      <c r="X20" s="356"/>
    </row>
    <row r="21" spans="1:24" ht="13.5" thickBot="1" x14ac:dyDescent="0.25">
      <c r="A21" s="1212" t="s">
        <v>640</v>
      </c>
      <c r="B21" s="895"/>
      <c r="C21" s="895"/>
      <c r="D21" s="895"/>
      <c r="E21" s="895"/>
      <c r="F21" s="895"/>
      <c r="G21" s="895"/>
      <c r="H21" s="895"/>
      <c r="I21" s="895"/>
      <c r="J21" s="895"/>
      <c r="K21" s="895"/>
      <c r="L21" s="895"/>
      <c r="M21" s="895"/>
      <c r="N21" s="895"/>
      <c r="O21" s="895"/>
      <c r="P21" s="895"/>
      <c r="Q21" s="895"/>
      <c r="R21" s="895"/>
      <c r="S21" s="895"/>
      <c r="T21" s="895"/>
      <c r="U21" s="895"/>
      <c r="V21" s="895"/>
      <c r="W21" s="895"/>
      <c r="X21" s="1213"/>
    </row>
    <row r="22" spans="1:24" ht="13.5" thickBot="1" x14ac:dyDescent="0.25">
      <c r="A22" s="357" t="s">
        <v>641</v>
      </c>
      <c r="B22" s="22"/>
      <c r="C22" s="22"/>
      <c r="D22" s="22"/>
      <c r="E22" s="22"/>
      <c r="F22" s="1230" t="s">
        <v>738</v>
      </c>
      <c r="G22" s="1231"/>
      <c r="H22" s="1231"/>
      <c r="I22" s="1231"/>
      <c r="J22" s="1231"/>
      <c r="K22" s="1231"/>
      <c r="L22" s="1232"/>
      <c r="M22" s="314" t="s">
        <v>642</v>
      </c>
      <c r="V22" s="1233"/>
      <c r="W22" s="1234"/>
      <c r="X22" s="21"/>
    </row>
    <row r="23" spans="1:24" x14ac:dyDescent="0.2">
      <c r="A23" s="358" t="s">
        <v>643</v>
      </c>
      <c r="B23" s="14"/>
      <c r="C23" s="14"/>
      <c r="D23" s="333"/>
      <c r="E23" s="14"/>
      <c r="F23" s="1048" t="s">
        <v>739</v>
      </c>
      <c r="G23" s="1048"/>
      <c r="H23" s="1048"/>
      <c r="I23" s="1048"/>
      <c r="J23" s="1048"/>
      <c r="K23" s="1048"/>
      <c r="L23" s="1235"/>
      <c r="X23" s="359"/>
    </row>
    <row r="24" spans="1:24" x14ac:dyDescent="0.2">
      <c r="A24" s="13" t="s">
        <v>644</v>
      </c>
      <c r="B24" s="22"/>
      <c r="C24" s="22"/>
      <c r="D24" s="1225" t="s">
        <v>740</v>
      </c>
      <c r="E24" s="908"/>
      <c r="F24" s="908"/>
      <c r="G24" s="908"/>
      <c r="H24" s="908"/>
      <c r="I24" s="908"/>
      <c r="J24" s="908"/>
      <c r="K24" s="908"/>
      <c r="L24" s="1226"/>
      <c r="M24" t="s">
        <v>645</v>
      </c>
      <c r="X24" s="360"/>
    </row>
    <row r="25" spans="1:24" ht="13.5" thickBot="1" x14ac:dyDescent="0.25">
      <c r="A25" s="361" t="s">
        <v>646</v>
      </c>
      <c r="B25" s="32"/>
      <c r="C25" s="32"/>
      <c r="D25" s="32"/>
      <c r="E25" s="32"/>
      <c r="F25" s="32"/>
      <c r="G25" s="32"/>
      <c r="H25" s="32"/>
      <c r="I25" s="32"/>
      <c r="J25" s="32"/>
      <c r="K25" s="32"/>
      <c r="M25" s="362"/>
      <c r="X25" s="360"/>
    </row>
    <row r="26" spans="1:24" ht="14.25" thickBot="1" x14ac:dyDescent="0.25">
      <c r="A26" s="13" t="s">
        <v>647</v>
      </c>
      <c r="B26" s="363"/>
      <c r="C26" s="363"/>
      <c r="D26" s="363"/>
      <c r="E26" s="363"/>
      <c r="F26" s="363"/>
      <c r="G26" s="363"/>
      <c r="H26" s="364"/>
      <c r="I26" s="364"/>
      <c r="J26" s="365"/>
      <c r="K26" s="366"/>
      <c r="M26" s="362" t="s">
        <v>648</v>
      </c>
      <c r="N26" s="363"/>
      <c r="O26" s="363"/>
      <c r="P26" s="363"/>
      <c r="Q26" s="363"/>
      <c r="R26" s="363"/>
      <c r="S26" s="363"/>
      <c r="T26" s="363"/>
      <c r="U26" s="367"/>
      <c r="X26" s="360"/>
    </row>
    <row r="27" spans="1:24" ht="14.25" thickBot="1" x14ac:dyDescent="0.25">
      <c r="A27" s="13" t="s">
        <v>649</v>
      </c>
      <c r="B27" s="22"/>
      <c r="C27" s="22"/>
      <c r="D27" s="22"/>
      <c r="E27" s="22"/>
      <c r="F27" s="22"/>
      <c r="G27" s="22"/>
      <c r="H27" s="22"/>
      <c r="I27" s="22"/>
      <c r="J27" s="348"/>
      <c r="K27" s="349"/>
      <c r="M27" s="368" t="s">
        <v>650</v>
      </c>
      <c r="N27" s="363"/>
      <c r="O27" s="363"/>
      <c r="P27" s="363"/>
      <c r="Q27" s="363"/>
      <c r="R27" s="363"/>
      <c r="S27" s="363"/>
      <c r="T27" s="365"/>
      <c r="U27" s="366"/>
      <c r="X27" s="360"/>
    </row>
    <row r="28" spans="1:24" ht="13.5" thickBot="1" x14ac:dyDescent="0.25">
      <c r="A28" s="13" t="s">
        <v>651</v>
      </c>
      <c r="B28" s="22"/>
      <c r="C28" s="22"/>
      <c r="D28" s="22"/>
      <c r="E28" s="22"/>
      <c r="F28" s="22"/>
      <c r="G28" s="22"/>
      <c r="H28" s="22"/>
      <c r="I28" s="22"/>
      <c r="J28" s="22"/>
      <c r="K28" s="22"/>
      <c r="L28" s="32"/>
      <c r="M28" s="362"/>
      <c r="X28" s="360"/>
    </row>
    <row r="29" spans="1:24" ht="14.25" thickBot="1" x14ac:dyDescent="0.25">
      <c r="A29" s="13" t="s">
        <v>647</v>
      </c>
      <c r="B29" s="363"/>
      <c r="C29" s="363"/>
      <c r="D29" s="363"/>
      <c r="E29" s="363"/>
      <c r="F29" s="363"/>
      <c r="G29" s="363"/>
      <c r="H29" s="364"/>
      <c r="I29" s="364"/>
      <c r="J29" s="365"/>
      <c r="K29" s="366"/>
      <c r="L29" s="364"/>
      <c r="M29" s="368" t="s">
        <v>652</v>
      </c>
      <c r="N29" s="363"/>
      <c r="O29" s="363"/>
      <c r="P29" s="363"/>
      <c r="Q29" s="363"/>
      <c r="R29" s="363"/>
      <c r="S29" s="363"/>
      <c r="T29" s="348"/>
      <c r="U29" s="349"/>
      <c r="X29" s="360"/>
    </row>
    <row r="30" spans="1:24" ht="13.5" thickBot="1" x14ac:dyDescent="0.25">
      <c r="A30" s="13" t="s">
        <v>649</v>
      </c>
      <c r="B30" s="22"/>
      <c r="C30" s="22"/>
      <c r="D30" s="22"/>
      <c r="E30" s="22"/>
      <c r="F30" s="22"/>
      <c r="G30" s="22"/>
      <c r="H30" s="22"/>
      <c r="I30" s="22"/>
      <c r="J30" s="348"/>
      <c r="K30" s="349"/>
      <c r="L30" s="355"/>
      <c r="M30" s="369"/>
      <c r="X30" s="370"/>
    </row>
    <row r="31" spans="1:24" ht="13.5" thickBot="1" x14ac:dyDescent="0.25">
      <c r="A31" s="1212" t="s">
        <v>653</v>
      </c>
      <c r="B31" s="895"/>
      <c r="C31" s="895"/>
      <c r="D31" s="895"/>
      <c r="E31" s="895"/>
      <c r="F31" s="895"/>
      <c r="G31" s="895"/>
      <c r="H31" s="895"/>
      <c r="I31" s="895"/>
      <c r="J31" s="895"/>
      <c r="K31" s="895"/>
      <c r="L31" s="895"/>
      <c r="M31" s="895"/>
      <c r="N31" s="895"/>
      <c r="O31" s="895"/>
      <c r="P31" s="895"/>
      <c r="Q31" s="895"/>
      <c r="R31" s="895"/>
      <c r="S31" s="895"/>
      <c r="T31" s="895"/>
      <c r="U31" s="895"/>
      <c r="V31" s="895"/>
      <c r="W31" s="895"/>
      <c r="X31" s="1213"/>
    </row>
    <row r="32" spans="1:24" x14ac:dyDescent="0.2">
      <c r="A32" s="13" t="s">
        <v>654</v>
      </c>
      <c r="B32" s="371"/>
      <c r="C32" s="371"/>
      <c r="D32" s="371"/>
      <c r="E32" s="371"/>
      <c r="F32" s="1221"/>
      <c r="G32" s="1221"/>
      <c r="H32" s="1221"/>
      <c r="I32" s="1221"/>
      <c r="J32" s="1221"/>
      <c r="K32" s="1221"/>
      <c r="L32" s="1222"/>
      <c r="M32" s="323" t="s">
        <v>655</v>
      </c>
      <c r="N32" s="372"/>
      <c r="O32" s="372"/>
      <c r="P32" s="372"/>
      <c r="Q32" s="1223"/>
      <c r="R32" s="1223"/>
      <c r="S32" s="1223"/>
      <c r="T32" s="1223"/>
      <c r="U32" s="1223"/>
      <c r="V32" s="1223"/>
      <c r="W32" s="1223"/>
      <c r="X32" s="1224"/>
    </row>
    <row r="33" spans="1:26" x14ac:dyDescent="0.2">
      <c r="A33" s="373" t="s">
        <v>656</v>
      </c>
      <c r="B33" s="374"/>
      <c r="C33" s="374"/>
      <c r="D33" s="22"/>
      <c r="E33" s="22"/>
      <c r="F33" s="1225" t="s">
        <v>741</v>
      </c>
      <c r="G33" s="908"/>
      <c r="H33" s="908"/>
      <c r="I33" s="908"/>
      <c r="J33" s="908"/>
      <c r="K33" s="908"/>
      <c r="L33" s="1226"/>
      <c r="M33" s="6" t="s">
        <v>657</v>
      </c>
      <c r="N33" s="6"/>
      <c r="O33" s="6"/>
      <c r="P33" s="1073" t="s">
        <v>735</v>
      </c>
      <c r="Q33" s="1073"/>
      <c r="R33" s="1073"/>
      <c r="S33" s="1073"/>
      <c r="T33" s="1073"/>
      <c r="U33" s="1073"/>
      <c r="V33" s="1073"/>
      <c r="W33" s="375"/>
      <c r="X33" s="376"/>
    </row>
    <row r="34" spans="1:26" ht="13.5" thickBot="1" x14ac:dyDescent="0.25">
      <c r="A34" s="361" t="s">
        <v>658</v>
      </c>
      <c r="B34" s="22"/>
      <c r="C34" s="22"/>
      <c r="D34" s="22"/>
      <c r="E34" s="22"/>
      <c r="F34" s="22"/>
      <c r="G34" s="22"/>
      <c r="H34" s="1227">
        <v>120</v>
      </c>
      <c r="I34" s="1227"/>
      <c r="J34" s="1227"/>
      <c r="K34" s="1227"/>
      <c r="L34" s="1228"/>
      <c r="M34" s="6" t="s">
        <v>659</v>
      </c>
      <c r="N34" s="6"/>
      <c r="O34" s="6"/>
      <c r="P34" s="1229" t="s">
        <v>736</v>
      </c>
      <c r="Q34" s="1073"/>
      <c r="R34" s="1073"/>
      <c r="S34" s="1073"/>
      <c r="T34" s="1073"/>
      <c r="U34" s="1073"/>
      <c r="V34" s="1073"/>
      <c r="W34" s="375"/>
      <c r="X34" s="376"/>
      <c r="Z34" s="477" t="s">
        <v>737</v>
      </c>
    </row>
    <row r="35" spans="1:26" ht="13.5" thickBot="1" x14ac:dyDescent="0.25">
      <c r="A35" s="327" t="s">
        <v>660</v>
      </c>
      <c r="B35" s="372"/>
      <c r="C35" s="372"/>
      <c r="D35" s="372"/>
      <c r="E35" s="372"/>
      <c r="F35" s="372"/>
      <c r="G35" s="372"/>
      <c r="H35" s="372"/>
      <c r="I35" s="372"/>
      <c r="J35" s="372"/>
      <c r="K35" s="1210" t="s">
        <v>742</v>
      </c>
      <c r="L35" s="1211"/>
      <c r="M35" s="6" t="s">
        <v>661</v>
      </c>
      <c r="N35" s="6"/>
      <c r="O35" s="6"/>
      <c r="P35" s="1073" t="s">
        <v>743</v>
      </c>
      <c r="Q35" s="1073"/>
      <c r="R35" s="1073"/>
      <c r="S35" s="1073"/>
      <c r="T35" s="1073"/>
      <c r="U35" s="1073"/>
      <c r="V35" s="1073"/>
      <c r="W35" s="375"/>
      <c r="X35" s="376"/>
    </row>
    <row r="36" spans="1:26" ht="13.5" thickBot="1" x14ac:dyDescent="0.25">
      <c r="A36" s="1212" t="s">
        <v>662</v>
      </c>
      <c r="B36" s="895"/>
      <c r="C36" s="895"/>
      <c r="D36" s="895"/>
      <c r="E36" s="895"/>
      <c r="F36" s="895"/>
      <c r="G36" s="895"/>
      <c r="H36" s="895"/>
      <c r="I36" s="895"/>
      <c r="J36" s="895"/>
      <c r="K36" s="895"/>
      <c r="L36" s="895"/>
      <c r="M36" s="895"/>
      <c r="N36" s="895"/>
      <c r="O36" s="895"/>
      <c r="P36" s="895"/>
      <c r="Q36" s="895"/>
      <c r="R36" s="895"/>
      <c r="S36" s="895"/>
      <c r="T36" s="895"/>
      <c r="U36" s="895"/>
      <c r="V36" s="895"/>
      <c r="W36" s="895"/>
      <c r="X36" s="1213"/>
    </row>
    <row r="37" spans="1:26" ht="13.5" thickBot="1" x14ac:dyDescent="0.25">
      <c r="A37" s="1214" t="s">
        <v>663</v>
      </c>
      <c r="B37" s="1215"/>
      <c r="C37" s="1215"/>
      <c r="D37" s="1215"/>
      <c r="E37" s="1215"/>
      <c r="F37" s="1215"/>
      <c r="G37" s="1215"/>
      <c r="H37" s="1216"/>
      <c r="I37" s="1217" t="s">
        <v>664</v>
      </c>
      <c r="J37" s="1218"/>
      <c r="K37" s="1218"/>
      <c r="L37" s="1218"/>
      <c r="M37" s="1218"/>
      <c r="N37" s="1218"/>
      <c r="O37" s="1218"/>
      <c r="P37" s="1218"/>
      <c r="Q37" s="1219"/>
      <c r="R37" s="1217" t="s">
        <v>665</v>
      </c>
      <c r="S37" s="1218"/>
      <c r="T37" s="1218"/>
      <c r="U37" s="1218"/>
      <c r="V37" s="1218"/>
      <c r="W37" s="1218"/>
      <c r="X37" s="1220"/>
    </row>
    <row r="38" spans="1:26" ht="13.5" thickBot="1" x14ac:dyDescent="0.25">
      <c r="A38" s="377" t="s">
        <v>666</v>
      </c>
      <c r="F38" s="372"/>
      <c r="G38" s="372"/>
      <c r="H38" s="378"/>
      <c r="I38" s="372" t="s">
        <v>667</v>
      </c>
      <c r="J38" s="372"/>
      <c r="K38" s="372"/>
      <c r="L38" s="372"/>
      <c r="M38" s="372"/>
      <c r="N38" s="372"/>
      <c r="O38" s="372"/>
      <c r="P38" s="372"/>
      <c r="Q38" s="378"/>
      <c r="R38" s="372" t="s">
        <v>668</v>
      </c>
      <c r="S38" s="372"/>
      <c r="T38" s="379"/>
      <c r="U38" s="1207"/>
      <c r="V38" s="1207"/>
      <c r="W38" s="1207"/>
      <c r="X38" s="380"/>
    </row>
    <row r="39" spans="1:26" ht="13.5" thickBot="1" x14ac:dyDescent="0.25">
      <c r="A39" s="381" t="s">
        <v>669</v>
      </c>
      <c r="B39" s="372"/>
      <c r="C39" s="1190"/>
      <c r="D39" s="1191"/>
      <c r="E39" s="372"/>
      <c r="F39" s="372"/>
      <c r="G39" s="382"/>
      <c r="H39" s="383"/>
      <c r="I39" s="382" t="s">
        <v>670</v>
      </c>
      <c r="J39" s="382"/>
      <c r="K39" s="382"/>
      <c r="L39" s="382"/>
      <c r="O39" s="1190"/>
      <c r="P39" s="1191"/>
      <c r="Q39" s="378"/>
      <c r="R39" s="372" t="s">
        <v>671</v>
      </c>
      <c r="S39" s="384"/>
      <c r="T39" s="384"/>
      <c r="U39" s="384"/>
      <c r="V39" s="1208"/>
      <c r="W39" s="1208"/>
      <c r="X39" s="385"/>
    </row>
    <row r="40" spans="1:26" ht="13.5" thickBot="1" x14ac:dyDescent="0.25">
      <c r="A40" s="377" t="s">
        <v>672</v>
      </c>
      <c r="C40" s="1190"/>
      <c r="D40" s="1191"/>
      <c r="H40" s="386"/>
      <c r="I40" s="387" t="s">
        <v>673</v>
      </c>
      <c r="M40" s="372"/>
      <c r="N40" s="372"/>
      <c r="O40" s="372"/>
      <c r="P40" s="372"/>
      <c r="Q40" s="378"/>
      <c r="R40" s="372" t="s">
        <v>674</v>
      </c>
      <c r="S40" s="382"/>
      <c r="T40" s="1209"/>
      <c r="U40" s="1209"/>
      <c r="V40" s="1209"/>
      <c r="W40" s="382"/>
      <c r="X40" s="388"/>
    </row>
    <row r="41" spans="1:26" ht="13.5" thickBot="1" x14ac:dyDescent="0.25">
      <c r="A41" s="377" t="s">
        <v>675</v>
      </c>
      <c r="C41" s="1190"/>
      <c r="D41" s="1191"/>
      <c r="H41" s="386"/>
      <c r="I41" s="387" t="s">
        <v>676</v>
      </c>
      <c r="O41" s="1190"/>
      <c r="P41" s="1191"/>
      <c r="Q41" s="378"/>
      <c r="R41" s="372" t="s">
        <v>677</v>
      </c>
      <c r="S41" s="372"/>
      <c r="T41" s="372"/>
      <c r="U41" s="1198"/>
      <c r="V41" s="1198"/>
      <c r="W41" s="1198"/>
      <c r="X41" s="389"/>
    </row>
    <row r="42" spans="1:26" ht="13.5" thickBot="1" x14ac:dyDescent="0.25">
      <c r="A42" s="361" t="s">
        <v>678</v>
      </c>
      <c r="B42" s="371"/>
      <c r="C42" s="371"/>
      <c r="D42" s="371"/>
      <c r="E42" s="1202"/>
      <c r="F42" s="1202"/>
      <c r="G42" s="1202"/>
      <c r="H42" s="1203"/>
      <c r="I42" s="35" t="s">
        <v>679</v>
      </c>
      <c r="J42" s="371"/>
      <c r="K42" s="371"/>
      <c r="L42" s="371"/>
      <c r="O42" s="1190"/>
      <c r="P42" s="1191"/>
      <c r="Q42" s="390"/>
      <c r="R42" s="35" t="s">
        <v>680</v>
      </c>
      <c r="S42" s="371"/>
      <c r="T42" s="371"/>
      <c r="U42" s="371"/>
      <c r="V42" s="371"/>
      <c r="W42" s="371"/>
      <c r="X42" s="391"/>
    </row>
    <row r="43" spans="1:26" ht="13.5" thickBot="1" x14ac:dyDescent="0.25">
      <c r="A43" s="392" t="s">
        <v>681</v>
      </c>
      <c r="B43" s="372"/>
      <c r="C43" s="372"/>
      <c r="D43" s="372"/>
      <c r="E43" s="1196"/>
      <c r="F43" s="1196"/>
      <c r="G43" s="1196"/>
      <c r="H43" s="1204"/>
      <c r="I43" s="393" t="s">
        <v>682</v>
      </c>
      <c r="J43" s="393"/>
      <c r="K43" s="393"/>
      <c r="L43" s="393"/>
      <c r="O43" s="1190"/>
      <c r="P43" s="1191"/>
      <c r="Q43" s="378"/>
      <c r="R43" s="372" t="s">
        <v>683</v>
      </c>
      <c r="S43" s="372"/>
      <c r="T43" s="1205"/>
      <c r="U43" s="1205"/>
      <c r="V43" s="1205"/>
      <c r="W43" s="1205"/>
      <c r="X43" s="1206"/>
    </row>
    <row r="44" spans="1:26" ht="13.5" thickBot="1" x14ac:dyDescent="0.25">
      <c r="A44" s="381" t="s">
        <v>684</v>
      </c>
      <c r="B44" s="372"/>
      <c r="C44" s="372"/>
      <c r="D44" s="372"/>
      <c r="E44" s="372"/>
      <c r="F44" s="372"/>
      <c r="G44" s="372"/>
      <c r="H44" s="378"/>
      <c r="J44" s="372"/>
      <c r="K44" s="393"/>
      <c r="L44" s="393"/>
      <c r="O44" s="372"/>
      <c r="P44" s="372"/>
      <c r="Q44" s="378"/>
      <c r="R44" s="372" t="s">
        <v>685</v>
      </c>
      <c r="S44" s="372"/>
      <c r="T44" s="1196"/>
      <c r="U44" s="1196"/>
      <c r="V44" s="1196"/>
      <c r="W44" s="1196"/>
      <c r="X44" s="1197"/>
    </row>
    <row r="45" spans="1:26" ht="13.5" thickBot="1" x14ac:dyDescent="0.25">
      <c r="A45" s="381" t="s">
        <v>669</v>
      </c>
      <c r="B45" s="372"/>
      <c r="C45" s="1190"/>
      <c r="D45" s="1191"/>
      <c r="E45" s="394"/>
      <c r="F45" s="394"/>
      <c r="G45" s="394"/>
      <c r="H45" s="395"/>
      <c r="I45" s="372" t="s">
        <v>686</v>
      </c>
      <c r="J45" s="394"/>
      <c r="K45" s="396"/>
      <c r="L45" s="396"/>
      <c r="O45" s="1190"/>
      <c r="P45" s="1191"/>
      <c r="Q45" s="395"/>
      <c r="R45" s="394" t="s">
        <v>78</v>
      </c>
      <c r="S45" s="1198"/>
      <c r="T45" s="1198"/>
      <c r="U45" s="1198"/>
      <c r="V45" s="1198"/>
      <c r="W45" s="1198"/>
      <c r="X45" s="1199"/>
    </row>
    <row r="46" spans="1:26" ht="13.5" thickBot="1" x14ac:dyDescent="0.25">
      <c r="A46" s="377" t="s">
        <v>672</v>
      </c>
      <c r="C46" s="1190"/>
      <c r="D46" s="1191"/>
      <c r="E46" s="394"/>
      <c r="F46" s="394"/>
      <c r="G46" s="394"/>
      <c r="H46" s="397"/>
      <c r="I46" s="396" t="s">
        <v>687</v>
      </c>
      <c r="J46" s="396"/>
      <c r="K46" s="396"/>
      <c r="L46" s="396"/>
      <c r="O46" s="1190"/>
      <c r="P46" s="1191"/>
      <c r="Q46" s="395"/>
      <c r="R46" s="394" t="s">
        <v>688</v>
      </c>
      <c r="S46" s="394"/>
      <c r="T46" s="398"/>
      <c r="U46" s="398"/>
      <c r="V46" s="398"/>
      <c r="W46" s="1200"/>
      <c r="X46" s="1201"/>
    </row>
    <row r="47" spans="1:26" ht="13.5" thickBot="1" x14ac:dyDescent="0.25">
      <c r="A47" s="377" t="s">
        <v>675</v>
      </c>
      <c r="C47" s="1190"/>
      <c r="D47" s="1191"/>
      <c r="E47" s="394"/>
      <c r="F47" s="394"/>
      <c r="G47" s="399"/>
      <c r="H47" s="400"/>
      <c r="I47" s="399" t="s">
        <v>689</v>
      </c>
      <c r="J47" s="399"/>
      <c r="K47" s="399"/>
      <c r="L47" s="399"/>
      <c r="O47" s="1190"/>
      <c r="P47" s="1191"/>
      <c r="Q47" s="395"/>
      <c r="R47" s="394" t="s">
        <v>690</v>
      </c>
      <c r="S47" s="399"/>
      <c r="T47" s="399"/>
      <c r="U47" s="399"/>
      <c r="V47" s="399"/>
      <c r="W47" s="1192"/>
      <c r="X47" s="1193"/>
    </row>
    <row r="48" spans="1:26" ht="13.5" thickBot="1" x14ac:dyDescent="0.25">
      <c r="A48" s="361" t="s">
        <v>678</v>
      </c>
      <c r="B48" s="371"/>
      <c r="C48" s="371"/>
      <c r="D48" s="371"/>
      <c r="E48" s="1180"/>
      <c r="F48" s="1180"/>
      <c r="G48" s="1180"/>
      <c r="H48" s="1181"/>
      <c r="I48" s="401" t="s">
        <v>691</v>
      </c>
      <c r="J48" s="401"/>
      <c r="K48" s="401"/>
      <c r="L48" s="401"/>
      <c r="M48" s="394"/>
      <c r="N48" s="394"/>
      <c r="O48" s="1190"/>
      <c r="P48" s="1191"/>
      <c r="Q48" s="395"/>
      <c r="R48" s="394" t="s">
        <v>692</v>
      </c>
      <c r="S48" s="401"/>
      <c r="T48" s="401"/>
      <c r="U48" s="401"/>
      <c r="V48" s="401"/>
      <c r="W48" s="1194"/>
      <c r="X48" s="1195"/>
    </row>
    <row r="49" spans="1:24" ht="13.5" thickBot="1" x14ac:dyDescent="0.25">
      <c r="A49" s="392" t="s">
        <v>681</v>
      </c>
      <c r="B49" s="372"/>
      <c r="C49" s="372"/>
      <c r="D49" s="372"/>
      <c r="E49" s="1180"/>
      <c r="F49" s="1180"/>
      <c r="G49" s="1180"/>
      <c r="H49" s="1181"/>
      <c r="I49" s="394" t="s">
        <v>693</v>
      </c>
      <c r="J49" s="394"/>
      <c r="K49" s="394"/>
      <c r="L49" s="394"/>
      <c r="M49" s="394"/>
      <c r="N49" s="394"/>
      <c r="O49" s="1182"/>
      <c r="P49" s="1183"/>
      <c r="Q49" s="395"/>
      <c r="R49" s="394" t="s">
        <v>694</v>
      </c>
      <c r="S49" s="394"/>
      <c r="T49" s="394"/>
      <c r="U49" s="394"/>
      <c r="V49" s="402"/>
      <c r="W49" s="1184"/>
      <c r="X49" s="1185"/>
    </row>
    <row r="50" spans="1:24" ht="13.5" thickBot="1" x14ac:dyDescent="0.25">
      <c r="A50" s="403"/>
      <c r="B50" s="404"/>
      <c r="C50" s="404"/>
      <c r="D50" s="404"/>
      <c r="E50" s="404"/>
      <c r="F50" s="404"/>
      <c r="G50" s="404"/>
      <c r="H50" s="404"/>
      <c r="I50" s="405"/>
      <c r="J50" s="405" t="s">
        <v>695</v>
      </c>
      <c r="K50" s="405"/>
      <c r="L50" s="405"/>
      <c r="M50" s="405"/>
      <c r="N50" s="405"/>
      <c r="O50" s="405"/>
      <c r="P50" s="405"/>
      <c r="Q50" s="405"/>
      <c r="R50" s="405"/>
      <c r="S50" s="404"/>
      <c r="T50" s="404"/>
      <c r="U50" s="404"/>
      <c r="V50" s="404"/>
      <c r="W50" s="404"/>
      <c r="X50" s="406"/>
    </row>
    <row r="51" spans="1:24" x14ac:dyDescent="0.2">
      <c r="A51" s="407" t="s">
        <v>696</v>
      </c>
      <c r="B51" s="408"/>
      <c r="C51" s="408"/>
      <c r="D51" s="408"/>
      <c r="E51" s="408"/>
      <c r="F51" s="408"/>
      <c r="G51" s="408"/>
      <c r="H51" s="408"/>
      <c r="I51" s="408"/>
      <c r="J51" s="408"/>
      <c r="K51" s="408"/>
      <c r="L51" s="408"/>
      <c r="M51" s="408"/>
      <c r="N51" s="408"/>
      <c r="O51" s="408"/>
      <c r="P51" s="408"/>
      <c r="Q51" s="408"/>
      <c r="R51" s="408"/>
      <c r="S51" s="408"/>
      <c r="T51" s="408"/>
      <c r="U51" s="408"/>
      <c r="V51" s="408"/>
      <c r="W51" s="408"/>
      <c r="X51" s="409"/>
    </row>
    <row r="52" spans="1:24" x14ac:dyDescent="0.2">
      <c r="A52" s="1186" t="s">
        <v>697</v>
      </c>
      <c r="B52" s="1187"/>
      <c r="C52" s="1187"/>
      <c r="D52" s="1187"/>
      <c r="E52" s="1187"/>
      <c r="F52" s="1187"/>
      <c r="G52" s="1187"/>
      <c r="H52" s="1187"/>
      <c r="I52" s="1187"/>
      <c r="J52" s="1187"/>
      <c r="K52" s="1187"/>
      <c r="L52" s="1187"/>
      <c r="M52" s="1187"/>
      <c r="N52" s="1187"/>
      <c r="O52" s="1187"/>
      <c r="P52" s="1187"/>
      <c r="Q52" s="1187"/>
      <c r="R52" s="1187"/>
      <c r="S52" s="1187"/>
      <c r="T52" s="1187"/>
      <c r="U52" s="1187"/>
      <c r="V52" s="1187"/>
      <c r="W52" s="1187"/>
      <c r="X52" s="1188"/>
    </row>
    <row r="53" spans="1:24" x14ac:dyDescent="0.2">
      <c r="A53" s="410"/>
      <c r="B53" s="55"/>
      <c r="C53" s="55"/>
      <c r="D53" s="55"/>
      <c r="E53" s="55"/>
      <c r="F53" s="55"/>
      <c r="G53" s="55"/>
      <c r="H53" s="55"/>
      <c r="I53" s="55"/>
      <c r="J53" s="55"/>
      <c r="K53" s="882"/>
      <c r="L53" s="882"/>
      <c r="M53" s="882"/>
      <c r="N53" s="318" t="s">
        <v>12</v>
      </c>
      <c r="O53" s="318"/>
      <c r="P53" s="318"/>
      <c r="Q53" s="57"/>
      <c r="R53" s="58" t="s">
        <v>13</v>
      </c>
      <c r="S53" s="319"/>
      <c r="T53" s="319"/>
      <c r="U53" s="319"/>
      <c r="V53" s="58" t="s">
        <v>13</v>
      </c>
      <c r="W53" s="442"/>
      <c r="X53" s="443"/>
    </row>
    <row r="54" spans="1:24" x14ac:dyDescent="0.2">
      <c r="A54" s="1189" t="s">
        <v>96</v>
      </c>
      <c r="B54" s="883"/>
      <c r="C54" s="883"/>
      <c r="D54" s="883"/>
      <c r="E54" s="883"/>
      <c r="F54" s="883"/>
      <c r="G54" s="883"/>
      <c r="H54" s="883"/>
      <c r="I54" s="59"/>
      <c r="J54" s="59"/>
      <c r="K54" s="59"/>
      <c r="L54" s="60"/>
      <c r="M54" s="884" t="s">
        <v>97</v>
      </c>
      <c r="N54" s="884"/>
      <c r="O54" s="884"/>
      <c r="P54" s="884"/>
      <c r="Q54" s="884"/>
      <c r="R54" s="884"/>
      <c r="S54" s="884"/>
      <c r="T54" s="884"/>
      <c r="U54" s="59"/>
      <c r="V54" s="59"/>
      <c r="W54" s="59"/>
      <c r="X54" s="411"/>
    </row>
    <row r="55" spans="1:24" x14ac:dyDescent="0.2">
      <c r="A55" s="412"/>
      <c r="B55" s="63"/>
      <c r="C55" s="63"/>
      <c r="D55" s="63"/>
      <c r="E55" s="63"/>
      <c r="F55" s="63"/>
      <c r="G55" s="63"/>
      <c r="H55" s="63"/>
      <c r="I55" s="63"/>
      <c r="J55" s="63"/>
      <c r="K55" s="63"/>
      <c r="L55" s="63"/>
      <c r="M55" s="413"/>
      <c r="N55" s="63"/>
      <c r="O55" s="63"/>
      <c r="P55" s="63"/>
      <c r="Q55" s="63"/>
      <c r="R55" s="63"/>
      <c r="S55" s="63"/>
      <c r="T55" s="63"/>
      <c r="U55" s="63"/>
      <c r="V55" s="63"/>
      <c r="W55" s="63"/>
      <c r="X55" s="414"/>
    </row>
    <row r="56" spans="1:24" x14ac:dyDescent="0.2">
      <c r="A56" s="415"/>
      <c r="B56" s="893" t="s">
        <v>98</v>
      </c>
      <c r="C56" s="893"/>
      <c r="D56" s="893"/>
      <c r="E56" s="893"/>
      <c r="F56" s="893"/>
      <c r="G56" s="893"/>
      <c r="H56" s="893"/>
      <c r="I56" s="893"/>
      <c r="J56" s="893"/>
      <c r="K56" s="893"/>
      <c r="L56" s="2"/>
      <c r="M56" s="362"/>
      <c r="N56" s="2"/>
      <c r="O56" s="893" t="s">
        <v>98</v>
      </c>
      <c r="P56" s="893"/>
      <c r="Q56" s="893"/>
      <c r="R56" s="893"/>
      <c r="S56" s="893"/>
      <c r="T56" s="893"/>
      <c r="U56" s="893"/>
      <c r="V56" s="893"/>
      <c r="W56" s="893"/>
      <c r="X56" s="1176"/>
    </row>
    <row r="57" spans="1:24" ht="13.5" thickBot="1" x14ac:dyDescent="0.25">
      <c r="A57" s="416"/>
      <c r="B57" s="417"/>
      <c r="C57" s="417"/>
      <c r="D57" s="417"/>
      <c r="E57" s="418"/>
      <c r="F57" s="418"/>
      <c r="G57" s="418"/>
      <c r="H57" s="418"/>
      <c r="I57" s="418"/>
      <c r="J57" s="418"/>
      <c r="K57" s="418"/>
      <c r="L57" s="418"/>
      <c r="M57" s="419"/>
      <c r="N57" s="418"/>
      <c r="O57" s="417"/>
      <c r="P57" s="417"/>
      <c r="Q57" s="418"/>
      <c r="R57" s="418"/>
      <c r="S57" s="418"/>
      <c r="T57" s="418"/>
      <c r="U57" s="418"/>
      <c r="V57" s="418"/>
      <c r="W57" s="418"/>
      <c r="X57" s="420"/>
    </row>
    <row r="58" spans="1:24" ht="13.5" thickBot="1" x14ac:dyDescent="0.25">
      <c r="A58" s="421"/>
      <c r="B58" s="422"/>
      <c r="C58" s="422"/>
      <c r="D58" s="422"/>
      <c r="E58" s="422" t="s">
        <v>15</v>
      </c>
      <c r="F58" s="408"/>
      <c r="G58" s="422"/>
      <c r="H58" s="422"/>
      <c r="I58" s="408"/>
      <c r="J58" s="422"/>
      <c r="K58" s="422"/>
      <c r="L58" s="422"/>
      <c r="M58" s="422"/>
      <c r="N58" s="422"/>
      <c r="O58" s="422"/>
      <c r="P58" s="422"/>
      <c r="Q58" s="422"/>
      <c r="R58" s="422"/>
      <c r="S58" s="422"/>
      <c r="T58" s="422"/>
      <c r="U58" s="422"/>
      <c r="V58" s="422"/>
      <c r="W58" s="422"/>
      <c r="X58" s="423"/>
    </row>
    <row r="59" spans="1:24" x14ac:dyDescent="0.2">
      <c r="A59" s="1177" t="s">
        <v>12</v>
      </c>
      <c r="B59" s="1178"/>
      <c r="C59" s="1178"/>
      <c r="D59" s="424"/>
      <c r="E59" s="324" t="s">
        <v>13</v>
      </c>
      <c r="F59" s="1179"/>
      <c r="G59" s="1179"/>
      <c r="H59" s="1179"/>
      <c r="I59" s="324" t="s">
        <v>13</v>
      </c>
      <c r="J59" s="1090"/>
      <c r="K59" s="1090"/>
      <c r="L59" s="320"/>
      <c r="M59" s="1178" t="s">
        <v>12</v>
      </c>
      <c r="N59" s="1178"/>
      <c r="O59" s="1178"/>
      <c r="P59" s="424"/>
      <c r="Q59" s="324" t="s">
        <v>13</v>
      </c>
      <c r="R59" s="1179"/>
      <c r="S59" s="1179"/>
      <c r="T59" s="1179"/>
      <c r="U59" s="324" t="s">
        <v>13</v>
      </c>
      <c r="V59" s="425"/>
      <c r="W59" s="425"/>
      <c r="X59" s="426"/>
    </row>
    <row r="60" spans="1:24" x14ac:dyDescent="0.2">
      <c r="A60" s="427"/>
      <c r="B60" s="55"/>
      <c r="C60" s="55"/>
      <c r="D60" s="55"/>
      <c r="E60" s="55"/>
      <c r="F60" s="55"/>
      <c r="G60" s="55"/>
      <c r="H60" s="55"/>
      <c r="I60" s="55"/>
      <c r="J60" s="55"/>
      <c r="K60" s="55"/>
      <c r="L60" s="69"/>
      <c r="M60" s="54"/>
      <c r="N60" s="55"/>
      <c r="O60" s="55"/>
      <c r="P60" s="55"/>
      <c r="Q60" s="55"/>
      <c r="R60" s="55"/>
      <c r="S60" s="55"/>
      <c r="T60" s="55"/>
      <c r="U60" s="55"/>
      <c r="V60" s="55"/>
      <c r="W60" s="55"/>
      <c r="X60" s="428"/>
    </row>
    <row r="61" spans="1:24" x14ac:dyDescent="0.2">
      <c r="A61" s="427"/>
      <c r="B61" s="75"/>
      <c r="C61" s="75"/>
      <c r="D61" s="75"/>
      <c r="E61" s="75"/>
      <c r="F61" s="75"/>
      <c r="G61" s="75"/>
      <c r="H61" s="75"/>
      <c r="I61" s="75"/>
      <c r="J61" s="75"/>
      <c r="K61" s="75"/>
      <c r="L61" s="69"/>
      <c r="M61" s="54"/>
      <c r="N61" s="75"/>
      <c r="O61" s="75"/>
      <c r="P61" s="75"/>
      <c r="Q61" s="75"/>
      <c r="R61" s="75"/>
      <c r="S61" s="75"/>
      <c r="T61" s="75"/>
      <c r="U61" s="75"/>
      <c r="V61" s="75"/>
      <c r="W61" s="75"/>
      <c r="X61" s="428"/>
    </row>
    <row r="62" spans="1:24" ht="13.5" thickBot="1" x14ac:dyDescent="0.25">
      <c r="A62" s="429"/>
      <c r="B62" s="1175" t="s">
        <v>16</v>
      </c>
      <c r="C62" s="1175"/>
      <c r="D62" s="1175"/>
      <c r="E62" s="1175"/>
      <c r="F62" s="1175"/>
      <c r="G62" s="1175"/>
      <c r="H62" s="1175"/>
      <c r="I62" s="1175"/>
      <c r="J62" s="1175"/>
      <c r="K62" s="1175"/>
      <c r="L62" s="430"/>
      <c r="M62" s="431"/>
      <c r="N62" s="432"/>
      <c r="O62" s="432"/>
      <c r="P62" s="432"/>
      <c r="Q62" s="432"/>
      <c r="R62" s="432" t="s">
        <v>698</v>
      </c>
      <c r="S62" s="432"/>
      <c r="T62" s="432"/>
      <c r="U62" s="432"/>
      <c r="V62" s="432"/>
      <c r="W62" s="432"/>
      <c r="X62" s="433"/>
    </row>
    <row r="63" spans="1:24" ht="13.5" thickTop="1" x14ac:dyDescent="0.2"/>
  </sheetData>
  <mergeCells count="87">
    <mergeCell ref="A1:X1"/>
    <mergeCell ref="A2:X2"/>
    <mergeCell ref="A3:E3"/>
    <mergeCell ref="F3:S3"/>
    <mergeCell ref="T3:X3"/>
    <mergeCell ref="A4:X4"/>
    <mergeCell ref="A5:E5"/>
    <mergeCell ref="F5:X5"/>
    <mergeCell ref="A6:D6"/>
    <mergeCell ref="E6:P6"/>
    <mergeCell ref="Q6:R6"/>
    <mergeCell ref="S6:X6"/>
    <mergeCell ref="B7:C7"/>
    <mergeCell ref="Q7:S7"/>
    <mergeCell ref="T7:X7"/>
    <mergeCell ref="A8:D8"/>
    <mergeCell ref="E8:X8"/>
    <mergeCell ref="A9:F9"/>
    <mergeCell ref="G9:P9"/>
    <mergeCell ref="V9:X9"/>
    <mergeCell ref="A10:G10"/>
    <mergeCell ref="H10:J10"/>
    <mergeCell ref="S10:U10"/>
    <mergeCell ref="A11:S11"/>
    <mergeCell ref="T11:X11"/>
    <mergeCell ref="Q12:U12"/>
    <mergeCell ref="A14:X14"/>
    <mergeCell ref="A21:X21"/>
    <mergeCell ref="F22:L22"/>
    <mergeCell ref="V22:W22"/>
    <mergeCell ref="F23:L23"/>
    <mergeCell ref="D24:L24"/>
    <mergeCell ref="A31:X31"/>
    <mergeCell ref="F32:L32"/>
    <mergeCell ref="Q32:X32"/>
    <mergeCell ref="F33:L33"/>
    <mergeCell ref="P33:V33"/>
    <mergeCell ref="H34:L34"/>
    <mergeCell ref="P34:V34"/>
    <mergeCell ref="K35:L35"/>
    <mergeCell ref="P35:V35"/>
    <mergeCell ref="A36:X36"/>
    <mergeCell ref="A37:H37"/>
    <mergeCell ref="I37:Q37"/>
    <mergeCell ref="R37:X37"/>
    <mergeCell ref="U38:W38"/>
    <mergeCell ref="C39:D39"/>
    <mergeCell ref="O39:P39"/>
    <mergeCell ref="V39:W39"/>
    <mergeCell ref="C40:D40"/>
    <mergeCell ref="T40:V40"/>
    <mergeCell ref="C41:D41"/>
    <mergeCell ref="O41:P41"/>
    <mergeCell ref="U41:W41"/>
    <mergeCell ref="E42:H42"/>
    <mergeCell ref="O42:P42"/>
    <mergeCell ref="E43:H43"/>
    <mergeCell ref="O43:P43"/>
    <mergeCell ref="T43:X43"/>
    <mergeCell ref="T44:X44"/>
    <mergeCell ref="C45:D45"/>
    <mergeCell ref="O45:P45"/>
    <mergeCell ref="S45:X45"/>
    <mergeCell ref="C46:D46"/>
    <mergeCell ref="O46:P46"/>
    <mergeCell ref="W46:X46"/>
    <mergeCell ref="C47:D47"/>
    <mergeCell ref="O47:P47"/>
    <mergeCell ref="W47:X47"/>
    <mergeCell ref="E48:H48"/>
    <mergeCell ref="O48:P48"/>
    <mergeCell ref="W48:X48"/>
    <mergeCell ref="E49:H49"/>
    <mergeCell ref="O49:P49"/>
    <mergeCell ref="W49:X49"/>
    <mergeCell ref="A52:X52"/>
    <mergeCell ref="K53:M53"/>
    <mergeCell ref="A54:H54"/>
    <mergeCell ref="M54:T54"/>
    <mergeCell ref="B62:K62"/>
    <mergeCell ref="B56:K56"/>
    <mergeCell ref="O56:X56"/>
    <mergeCell ref="A59:C59"/>
    <mergeCell ref="F59:H59"/>
    <mergeCell ref="J59:K59"/>
    <mergeCell ref="M59:O59"/>
    <mergeCell ref="R59:T59"/>
  </mergeCells>
  <pageMargins left="1.299212598425197" right="0.51181102362204722" top="0.78740157480314965" bottom="0.78740157480314965" header="0.31496062992125984" footer="0.31496062992125984"/>
  <pageSetup paperSize="9" scale="91" orientation="portrait" r:id="rId1"/>
  <drawing r:id="rId2"/>
  <legacyDrawing r:id="rId3"/>
  <oleObjects>
    <mc:AlternateContent xmlns:mc="http://schemas.openxmlformats.org/markup-compatibility/2006">
      <mc:Choice Requires="x14">
        <oleObject progId="Word.Picture.8" shapeId="13314" r:id="rId4">
          <objectPr defaultSize="0" autoPict="0" r:id="rId5">
            <anchor moveWithCells="1" sizeWithCells="1">
              <from>
                <xdr:col>19</xdr:col>
                <xdr:colOff>123825</xdr:colOff>
                <xdr:row>0</xdr:row>
                <xdr:rowOff>28575</xdr:rowOff>
              </from>
              <to>
                <xdr:col>20</xdr:col>
                <xdr:colOff>76200</xdr:colOff>
                <xdr:row>1</xdr:row>
                <xdr:rowOff>123825</xdr:rowOff>
              </to>
            </anchor>
          </objectPr>
        </oleObject>
      </mc:Choice>
      <mc:Fallback>
        <oleObject progId="Word.Picture.8" shapeId="13314"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3"/>
  <sheetViews>
    <sheetView topLeftCell="A31" zoomScaleNormal="100" workbookViewId="0"/>
  </sheetViews>
  <sheetFormatPr defaultRowHeight="12.75" x14ac:dyDescent="0.2"/>
  <cols>
    <col min="1" max="26" width="3.5703125" customWidth="1"/>
    <col min="27" max="27" width="2.5703125" customWidth="1"/>
  </cols>
  <sheetData>
    <row r="1" spans="1:51" ht="13.5" thickBot="1" x14ac:dyDescent="0.25"/>
    <row r="2" spans="1:51" ht="14.25" thickTop="1" thickBot="1" x14ac:dyDescent="0.25">
      <c r="A2" s="1280" t="s">
        <v>1</v>
      </c>
      <c r="B2" s="1281"/>
      <c r="C2" s="1281"/>
      <c r="D2" s="1281"/>
      <c r="E2" s="1281"/>
      <c r="F2" s="1281"/>
      <c r="G2" s="1281"/>
      <c r="H2" s="1282" t="s">
        <v>0</v>
      </c>
      <c r="I2" s="1282"/>
      <c r="J2" s="1282"/>
      <c r="K2" s="1282"/>
      <c r="L2" s="1282"/>
      <c r="M2" s="1282"/>
      <c r="N2" s="1282"/>
      <c r="O2" s="1282"/>
      <c r="P2" s="1282"/>
      <c r="Q2" s="1282"/>
      <c r="R2" s="1283" t="s">
        <v>47</v>
      </c>
      <c r="S2" s="1283"/>
      <c r="T2" s="1283"/>
      <c r="U2" s="1283"/>
      <c r="V2" s="1283"/>
      <c r="W2" s="1283"/>
      <c r="X2" s="1283"/>
      <c r="Y2" s="1283"/>
      <c r="Z2" s="1283"/>
      <c r="AA2" s="2"/>
    </row>
    <row r="3" spans="1:51" ht="15.6" customHeight="1" x14ac:dyDescent="0.2">
      <c r="A3" s="321"/>
      <c r="B3" s="444"/>
      <c r="C3" s="1284" t="s">
        <v>699</v>
      </c>
      <c r="D3" s="1285"/>
      <c r="E3" s="1285"/>
      <c r="F3" s="1285"/>
      <c r="G3" s="1286"/>
      <c r="H3" s="1284" t="s">
        <v>700</v>
      </c>
      <c r="I3" s="1285"/>
      <c r="J3" s="1285"/>
      <c r="K3" s="1285"/>
      <c r="L3" s="1286"/>
      <c r="M3" s="1284" t="s">
        <v>701</v>
      </c>
      <c r="N3" s="1285"/>
      <c r="O3" s="1285"/>
      <c r="P3" s="1285"/>
      <c r="Q3" s="1286"/>
      <c r="R3" s="1293" t="s">
        <v>702</v>
      </c>
      <c r="S3" s="1294"/>
      <c r="T3" s="444"/>
      <c r="U3" s="445"/>
      <c r="V3" s="446"/>
      <c r="W3" s="1295"/>
      <c r="X3" s="1296"/>
      <c r="Y3" s="1297" t="s">
        <v>703</v>
      </c>
      <c r="Z3" s="1298"/>
      <c r="AA3" s="2"/>
    </row>
    <row r="4" spans="1:51" ht="15" x14ac:dyDescent="0.2">
      <c r="A4" s="447" t="s">
        <v>145</v>
      </c>
      <c r="B4" s="447" t="s">
        <v>704</v>
      </c>
      <c r="C4" s="1287"/>
      <c r="D4" s="1288"/>
      <c r="E4" s="1288"/>
      <c r="F4" s="1288"/>
      <c r="G4" s="1289"/>
      <c r="H4" s="1287"/>
      <c r="I4" s="1288"/>
      <c r="J4" s="1288"/>
      <c r="K4" s="1288"/>
      <c r="L4" s="1289"/>
      <c r="M4" s="1287"/>
      <c r="N4" s="1288"/>
      <c r="O4" s="1288"/>
      <c r="P4" s="1288"/>
      <c r="Q4" s="1289"/>
      <c r="R4" s="1299" t="s">
        <v>13</v>
      </c>
      <c r="S4" s="1300"/>
      <c r="T4" s="447" t="s">
        <v>705</v>
      </c>
      <c r="U4" s="449"/>
      <c r="V4" s="435" t="s">
        <v>706</v>
      </c>
      <c r="W4" s="1274"/>
      <c r="X4" s="1275"/>
      <c r="Y4" s="1262" t="s">
        <v>378</v>
      </c>
      <c r="Z4" s="1263"/>
      <c r="AA4" s="2"/>
    </row>
    <row r="5" spans="1:51" ht="15.75" thickBot="1" x14ac:dyDescent="0.25">
      <c r="A5" s="447" t="s">
        <v>707</v>
      </c>
      <c r="B5" s="447" t="s">
        <v>708</v>
      </c>
      <c r="C5" s="1290"/>
      <c r="D5" s="1291"/>
      <c r="E5" s="1291"/>
      <c r="F5" s="1291"/>
      <c r="G5" s="1292"/>
      <c r="H5" s="1290"/>
      <c r="I5" s="1291"/>
      <c r="J5" s="1291"/>
      <c r="K5" s="1291"/>
      <c r="L5" s="1292"/>
      <c r="M5" s="1290"/>
      <c r="N5" s="1291"/>
      <c r="O5" s="1291"/>
      <c r="P5" s="1291"/>
      <c r="Q5" s="1292"/>
      <c r="R5" s="1276" t="s">
        <v>9</v>
      </c>
      <c r="S5" s="1277"/>
      <c r="T5" s="447" t="s">
        <v>709</v>
      </c>
      <c r="U5" s="450"/>
      <c r="V5" s="451"/>
      <c r="W5" s="1268" t="s">
        <v>710</v>
      </c>
      <c r="X5" s="1269"/>
      <c r="Y5" s="1262" t="s">
        <v>711</v>
      </c>
      <c r="Z5" s="1263"/>
      <c r="AA5" s="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15" x14ac:dyDescent="0.2">
      <c r="A6" s="447" t="s">
        <v>712</v>
      </c>
      <c r="B6" s="447" t="s">
        <v>709</v>
      </c>
      <c r="C6" s="452"/>
      <c r="D6" s="1278"/>
      <c r="E6" s="452"/>
      <c r="F6" s="1278"/>
      <c r="G6" s="452"/>
      <c r="H6" s="452"/>
      <c r="I6" s="1278"/>
      <c r="J6" s="452"/>
      <c r="K6" s="1278"/>
      <c r="L6" s="452"/>
      <c r="M6" s="452"/>
      <c r="N6" s="1278"/>
      <c r="O6" s="453"/>
      <c r="P6" s="1266"/>
      <c r="Q6" s="453"/>
      <c r="R6" s="453"/>
      <c r="S6" s="453"/>
      <c r="T6" s="447" t="s">
        <v>711</v>
      </c>
      <c r="U6" s="452"/>
      <c r="V6" s="454"/>
      <c r="W6" s="1268" t="s">
        <v>377</v>
      </c>
      <c r="X6" s="1269"/>
      <c r="Y6" s="1262" t="s">
        <v>709</v>
      </c>
      <c r="Z6" s="1263"/>
      <c r="AA6" s="2"/>
      <c r="AB6" s="35"/>
      <c r="AC6" s="35"/>
      <c r="AD6" s="35"/>
      <c r="AE6" s="35"/>
      <c r="AF6" s="35"/>
      <c r="AG6" s="35"/>
      <c r="AH6" s="35"/>
      <c r="AI6" s="35"/>
      <c r="AJ6" s="35"/>
      <c r="AK6" s="35"/>
      <c r="AL6" s="35"/>
      <c r="AM6" s="35"/>
      <c r="AN6" s="35"/>
      <c r="AO6" s="35"/>
      <c r="AP6" s="35"/>
      <c r="AQ6" s="35"/>
      <c r="AR6" s="35"/>
      <c r="AS6" s="35"/>
      <c r="AT6" s="35"/>
      <c r="AU6" s="35"/>
      <c r="AV6" s="35"/>
      <c r="AW6" s="36"/>
      <c r="AX6" s="36"/>
      <c r="AY6" s="36"/>
    </row>
    <row r="7" spans="1:51" ht="15" x14ac:dyDescent="0.2">
      <c r="A7" s="447" t="s">
        <v>713</v>
      </c>
      <c r="B7" s="447" t="s">
        <v>145</v>
      </c>
      <c r="C7" s="455"/>
      <c r="D7" s="1279"/>
      <c r="E7" s="455"/>
      <c r="F7" s="1279"/>
      <c r="G7" s="455"/>
      <c r="H7" s="455"/>
      <c r="I7" s="1279"/>
      <c r="J7" s="455"/>
      <c r="K7" s="1279"/>
      <c r="L7" s="455"/>
      <c r="M7" s="455"/>
      <c r="N7" s="1279"/>
      <c r="O7" s="456"/>
      <c r="P7" s="1267"/>
      <c r="Q7" s="456"/>
      <c r="R7" s="456"/>
      <c r="S7" s="456"/>
      <c r="T7" s="447" t="s">
        <v>714</v>
      </c>
      <c r="U7" s="455"/>
      <c r="V7" s="457"/>
      <c r="W7" s="1268" t="s">
        <v>704</v>
      </c>
      <c r="X7" s="1269"/>
      <c r="Y7" s="1270" t="s">
        <v>708</v>
      </c>
      <c r="Z7" s="1271"/>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ht="15" x14ac:dyDescent="0.2">
      <c r="A8" s="447" t="s">
        <v>709</v>
      </c>
      <c r="B8" s="447" t="s">
        <v>707</v>
      </c>
      <c r="C8" s="455"/>
      <c r="D8" s="1279"/>
      <c r="E8" s="455"/>
      <c r="F8" s="1279"/>
      <c r="G8" s="455"/>
      <c r="H8" s="455"/>
      <c r="I8" s="1279"/>
      <c r="J8" s="455"/>
      <c r="K8" s="1279"/>
      <c r="L8" s="455"/>
      <c r="M8" s="455"/>
      <c r="N8" s="1279"/>
      <c r="O8" s="456"/>
      <c r="P8" s="1267"/>
      <c r="Q8" s="456"/>
      <c r="R8" s="456"/>
      <c r="S8" s="456"/>
      <c r="T8" s="447" t="s">
        <v>715</v>
      </c>
      <c r="U8" s="458"/>
      <c r="V8" s="457"/>
      <c r="W8" s="1268" t="s">
        <v>703</v>
      </c>
      <c r="X8" s="1269"/>
      <c r="Y8" s="1270" t="s">
        <v>713</v>
      </c>
      <c r="Z8" s="1271"/>
      <c r="AB8" s="19"/>
      <c r="AC8" s="22"/>
      <c r="AD8" s="22"/>
      <c r="AE8" s="22"/>
      <c r="AF8" s="22"/>
      <c r="AG8" s="22"/>
      <c r="AH8" s="22"/>
      <c r="AI8" s="22"/>
      <c r="AJ8" s="22"/>
      <c r="AK8" s="22"/>
      <c r="AL8" s="22"/>
      <c r="AM8" s="22"/>
      <c r="AN8" s="38"/>
      <c r="AO8" s="38"/>
      <c r="AP8" s="38"/>
      <c r="AQ8" s="38"/>
      <c r="AR8" s="38"/>
      <c r="AS8" s="38"/>
      <c r="AT8" s="38"/>
      <c r="AU8" s="38"/>
      <c r="AV8" s="38"/>
      <c r="AW8" s="38"/>
      <c r="AX8" s="38"/>
      <c r="AY8" s="38"/>
    </row>
    <row r="9" spans="1:51" ht="15" x14ac:dyDescent="0.2">
      <c r="A9" s="447" t="s">
        <v>716</v>
      </c>
      <c r="B9" s="447" t="s">
        <v>703</v>
      </c>
      <c r="C9" s="455"/>
      <c r="D9" s="1279"/>
      <c r="E9" s="455"/>
      <c r="F9" s="1279"/>
      <c r="G9" s="455"/>
      <c r="H9" s="455"/>
      <c r="I9" s="1279"/>
      <c r="J9" s="455"/>
      <c r="K9" s="1279"/>
      <c r="L9" s="455"/>
      <c r="M9" s="455"/>
      <c r="N9" s="1279"/>
      <c r="O9" s="456"/>
      <c r="P9" s="1267"/>
      <c r="Q9" s="456"/>
      <c r="R9" s="456"/>
      <c r="S9" s="456"/>
      <c r="T9" s="447" t="s">
        <v>713</v>
      </c>
      <c r="U9" s="458"/>
      <c r="V9" s="457"/>
      <c r="W9" s="1268" t="s">
        <v>708</v>
      </c>
      <c r="X9" s="1269"/>
      <c r="Y9" s="1272" t="s">
        <v>377</v>
      </c>
      <c r="Z9" s="1273"/>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ht="15" x14ac:dyDescent="0.2">
      <c r="A10" s="447" t="s">
        <v>708</v>
      </c>
      <c r="B10" s="459"/>
      <c r="C10" s="455"/>
      <c r="D10" s="1279"/>
      <c r="E10" s="455"/>
      <c r="F10" s="1279"/>
      <c r="G10" s="455"/>
      <c r="H10" s="455"/>
      <c r="I10" s="1279"/>
      <c r="J10" s="455"/>
      <c r="K10" s="1279"/>
      <c r="L10" s="455"/>
      <c r="M10" s="455"/>
      <c r="N10" s="1279"/>
      <c r="O10" s="456"/>
      <c r="P10" s="1267"/>
      <c r="Q10" s="456"/>
      <c r="R10" s="456"/>
      <c r="S10" s="456"/>
      <c r="T10" s="447" t="s">
        <v>709</v>
      </c>
      <c r="U10" s="458"/>
      <c r="V10" s="457"/>
      <c r="W10" s="460"/>
      <c r="X10" s="436"/>
      <c r="Y10" s="1262" t="s">
        <v>717</v>
      </c>
      <c r="Z10" s="1263"/>
      <c r="AB10" s="22"/>
      <c r="AC10" s="19"/>
      <c r="AD10" s="19"/>
      <c r="AE10" s="19"/>
      <c r="AF10" s="19"/>
      <c r="AG10" s="19"/>
      <c r="AH10" s="38"/>
      <c r="AI10" s="38"/>
      <c r="AJ10" s="42"/>
      <c r="AK10" s="42"/>
      <c r="AL10" s="42"/>
      <c r="AM10" s="42"/>
      <c r="AN10" s="42"/>
      <c r="AO10" s="42"/>
      <c r="AP10" s="20"/>
      <c r="AQ10" s="20"/>
      <c r="AR10" s="20"/>
      <c r="AS10" s="22"/>
      <c r="AT10" s="22"/>
      <c r="AU10" s="22"/>
      <c r="AV10" s="22"/>
      <c r="AW10" s="22"/>
      <c r="AX10" s="22"/>
      <c r="AY10" s="38"/>
    </row>
    <row r="11" spans="1:51" ht="18" x14ac:dyDescent="0.2">
      <c r="A11" s="447" t="s">
        <v>703</v>
      </c>
      <c r="B11" s="455"/>
      <c r="C11" s="455"/>
      <c r="D11" s="1279"/>
      <c r="E11" s="455"/>
      <c r="F11" s="1279"/>
      <c r="G11" s="455"/>
      <c r="H11" s="455"/>
      <c r="I11" s="1279"/>
      <c r="J11" s="455"/>
      <c r="K11" s="1279"/>
      <c r="L11" s="455"/>
      <c r="M11" s="455"/>
      <c r="N11" s="1279"/>
      <c r="O11" s="455"/>
      <c r="P11" s="1267"/>
      <c r="Q11" s="455"/>
      <c r="R11" s="455"/>
      <c r="S11" s="455"/>
      <c r="T11" s="447" t="s">
        <v>718</v>
      </c>
      <c r="U11" s="455"/>
      <c r="V11" s="455"/>
      <c r="W11" s="1260" t="s">
        <v>149</v>
      </c>
      <c r="X11" s="1261"/>
      <c r="Y11" s="1262" t="s">
        <v>719</v>
      </c>
      <c r="Z11" s="1263"/>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ht="15" x14ac:dyDescent="0.2">
      <c r="A12" s="461"/>
      <c r="B12" s="455"/>
      <c r="C12" s="462"/>
      <c r="D12" s="1279"/>
      <c r="E12" s="463"/>
      <c r="F12" s="1279"/>
      <c r="G12" s="463"/>
      <c r="H12" s="463"/>
      <c r="I12" s="1279"/>
      <c r="J12" s="463"/>
      <c r="K12" s="1279"/>
      <c r="L12" s="455"/>
      <c r="M12" s="455"/>
      <c r="N12" s="1279"/>
      <c r="O12" s="455"/>
      <c r="P12" s="1267"/>
      <c r="Q12" s="455"/>
      <c r="R12" s="455"/>
      <c r="S12" s="455"/>
      <c r="T12" s="455"/>
      <c r="U12" s="455"/>
      <c r="V12" s="455"/>
      <c r="W12" s="448"/>
      <c r="X12" s="434"/>
      <c r="Y12" s="1262" t="s">
        <v>703</v>
      </c>
      <c r="Z12" s="1263"/>
      <c r="AB12" s="22"/>
      <c r="AC12" s="22"/>
      <c r="AD12" s="22"/>
      <c r="AE12" s="22"/>
      <c r="AF12" s="22"/>
      <c r="AG12" s="22"/>
      <c r="AH12" s="22"/>
      <c r="AI12" s="22"/>
      <c r="AJ12" s="43"/>
      <c r="AK12" s="43"/>
      <c r="AL12" s="43"/>
      <c r="AM12" s="43"/>
      <c r="AN12" s="43"/>
      <c r="AO12" s="43"/>
      <c r="AP12" s="43"/>
      <c r="AQ12" s="43"/>
      <c r="AR12" s="43"/>
      <c r="AS12" s="43"/>
      <c r="AT12" s="43"/>
      <c r="AU12" s="43"/>
      <c r="AV12" s="43"/>
      <c r="AW12" s="43"/>
      <c r="AX12" s="43"/>
      <c r="AY12" s="43"/>
    </row>
    <row r="13" spans="1:51" ht="15.75" thickBot="1" x14ac:dyDescent="0.25">
      <c r="A13" s="464"/>
      <c r="B13" s="465"/>
      <c r="C13" s="466"/>
      <c r="D13" s="1279"/>
      <c r="E13" s="466"/>
      <c r="F13" s="1279"/>
      <c r="G13" s="466"/>
      <c r="H13" s="466"/>
      <c r="I13" s="1279"/>
      <c r="J13" s="466"/>
      <c r="K13" s="1279"/>
      <c r="L13" s="465"/>
      <c r="M13" s="465"/>
      <c r="N13" s="1279"/>
      <c r="O13" s="465"/>
      <c r="P13" s="1267"/>
      <c r="Q13" s="465"/>
      <c r="R13" s="465"/>
      <c r="S13" s="465"/>
      <c r="T13" s="465"/>
      <c r="U13" s="465"/>
      <c r="V13" s="465"/>
      <c r="W13" s="450"/>
      <c r="X13" s="467"/>
      <c r="Y13" s="468"/>
      <c r="Z13" s="467"/>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ht="26.25" thickBot="1" x14ac:dyDescent="0.25">
      <c r="A14" s="469" t="s">
        <v>720</v>
      </c>
      <c r="B14" s="469" t="s">
        <v>720</v>
      </c>
      <c r="C14" s="470" t="s">
        <v>133</v>
      </c>
      <c r="D14" s="437"/>
      <c r="E14" s="471" t="s">
        <v>133</v>
      </c>
      <c r="F14" s="437"/>
      <c r="G14" s="471" t="s">
        <v>133</v>
      </c>
      <c r="H14" s="471" t="s">
        <v>142</v>
      </c>
      <c r="I14" s="437"/>
      <c r="J14" s="471" t="s">
        <v>142</v>
      </c>
      <c r="K14" s="437"/>
      <c r="L14" s="471" t="s">
        <v>721</v>
      </c>
      <c r="M14" s="471" t="s">
        <v>203</v>
      </c>
      <c r="N14" s="438"/>
      <c r="O14" s="471" t="s">
        <v>203</v>
      </c>
      <c r="P14" s="438"/>
      <c r="Q14" s="471" t="s">
        <v>722</v>
      </c>
      <c r="R14" s="471" t="s">
        <v>203</v>
      </c>
      <c r="S14" s="471" t="s">
        <v>203</v>
      </c>
      <c r="T14" s="471" t="s">
        <v>203</v>
      </c>
      <c r="U14" s="471" t="s">
        <v>723</v>
      </c>
      <c r="V14" s="471" t="s">
        <v>724</v>
      </c>
      <c r="W14" s="1264"/>
      <c r="X14" s="1265"/>
      <c r="Y14" s="1264"/>
      <c r="Z14" s="1265"/>
      <c r="AB14" s="22"/>
      <c r="AC14" s="22"/>
      <c r="AD14" s="22"/>
      <c r="AE14" s="22"/>
      <c r="AF14" s="22"/>
      <c r="AG14" s="22"/>
      <c r="AH14" s="22"/>
      <c r="AI14" s="43"/>
      <c r="AJ14" s="43"/>
      <c r="AK14" s="43"/>
      <c r="AL14" s="43"/>
      <c r="AM14" s="43"/>
      <c r="AN14" s="43"/>
      <c r="AO14" s="43"/>
      <c r="AP14" s="43"/>
      <c r="AQ14" s="43"/>
      <c r="AR14" s="43"/>
      <c r="AS14" s="43"/>
      <c r="AT14" s="43"/>
      <c r="AU14" s="43"/>
      <c r="AV14" s="43"/>
      <c r="AW14" s="43"/>
      <c r="AX14" s="43"/>
      <c r="AY14" s="43"/>
    </row>
    <row r="15" spans="1:51" ht="13.5" thickBot="1" x14ac:dyDescent="0.25">
      <c r="A15" s="472"/>
      <c r="B15" s="472"/>
      <c r="C15" s="473"/>
      <c r="D15" s="439"/>
      <c r="E15" s="472"/>
      <c r="F15" s="439"/>
      <c r="G15" s="472"/>
      <c r="H15" s="472"/>
      <c r="I15" s="439"/>
      <c r="J15" s="472"/>
      <c r="K15" s="439"/>
      <c r="L15" s="472"/>
      <c r="M15" s="472"/>
      <c r="N15" s="439"/>
      <c r="O15" s="472"/>
      <c r="P15" s="439"/>
      <c r="Q15" s="472"/>
      <c r="R15" s="472"/>
      <c r="S15" s="472"/>
      <c r="T15" s="472"/>
      <c r="U15" s="472"/>
      <c r="V15" s="472"/>
      <c r="W15" s="1258"/>
      <c r="X15" s="1259"/>
      <c r="Y15" s="1258"/>
      <c r="Z15" s="1259"/>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13.5" thickBot="1" x14ac:dyDescent="0.25">
      <c r="A16" s="472"/>
      <c r="B16" s="472"/>
      <c r="C16" s="473"/>
      <c r="D16" s="439"/>
      <c r="E16" s="472"/>
      <c r="F16" s="439"/>
      <c r="G16" s="472"/>
      <c r="H16" s="472"/>
      <c r="I16" s="439"/>
      <c r="J16" s="472"/>
      <c r="K16" s="439"/>
      <c r="L16" s="472"/>
      <c r="M16" s="472"/>
      <c r="N16" s="439"/>
      <c r="O16" s="472"/>
      <c r="P16" s="439"/>
      <c r="Q16" s="472"/>
      <c r="R16" s="472"/>
      <c r="S16" s="472"/>
      <c r="T16" s="472"/>
      <c r="U16" s="472"/>
      <c r="V16" s="472"/>
      <c r="W16" s="1258"/>
      <c r="X16" s="1259"/>
      <c r="Y16" s="1258"/>
      <c r="Z16" s="1259"/>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row>
    <row r="17" spans="1:51" ht="13.5" thickBot="1" x14ac:dyDescent="0.25">
      <c r="A17" s="472"/>
      <c r="B17" s="472"/>
      <c r="C17" s="473"/>
      <c r="D17" s="439"/>
      <c r="E17" s="472"/>
      <c r="F17" s="439"/>
      <c r="G17" s="472"/>
      <c r="H17" s="472"/>
      <c r="I17" s="439"/>
      <c r="J17" s="472"/>
      <c r="K17" s="439"/>
      <c r="L17" s="472"/>
      <c r="M17" s="472"/>
      <c r="N17" s="439"/>
      <c r="O17" s="472"/>
      <c r="P17" s="439"/>
      <c r="Q17" s="472"/>
      <c r="R17" s="472"/>
      <c r="S17" s="472"/>
      <c r="T17" s="472"/>
      <c r="U17" s="472"/>
      <c r="V17" s="472"/>
      <c r="W17" s="1258"/>
      <c r="X17" s="1259"/>
      <c r="Y17" s="1258"/>
      <c r="Z17" s="1259"/>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row>
    <row r="18" spans="1:51" ht="13.5" thickBot="1" x14ac:dyDescent="0.25">
      <c r="A18" s="472"/>
      <c r="B18" s="472"/>
      <c r="C18" s="473"/>
      <c r="D18" s="439"/>
      <c r="E18" s="472"/>
      <c r="F18" s="439"/>
      <c r="G18" s="472"/>
      <c r="H18" s="472"/>
      <c r="I18" s="439"/>
      <c r="J18" s="472"/>
      <c r="K18" s="439"/>
      <c r="L18" s="472"/>
      <c r="M18" s="472"/>
      <c r="N18" s="439"/>
      <c r="O18" s="472"/>
      <c r="P18" s="439"/>
      <c r="Q18" s="472"/>
      <c r="R18" s="472"/>
      <c r="S18" s="472"/>
      <c r="T18" s="472"/>
      <c r="U18" s="472"/>
      <c r="V18" s="472"/>
      <c r="W18" s="1258"/>
      <c r="X18" s="1259"/>
      <c r="Y18" s="1258"/>
      <c r="Z18" s="1259"/>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row>
    <row r="19" spans="1:51" ht="13.5" thickBot="1" x14ac:dyDescent="0.25">
      <c r="A19" s="472"/>
      <c r="B19" s="472"/>
      <c r="C19" s="473"/>
      <c r="D19" s="439"/>
      <c r="E19" s="472"/>
      <c r="F19" s="439"/>
      <c r="G19" s="472"/>
      <c r="H19" s="472"/>
      <c r="I19" s="439"/>
      <c r="J19" s="472"/>
      <c r="K19" s="439"/>
      <c r="L19" s="472"/>
      <c r="M19" s="472"/>
      <c r="N19" s="439"/>
      <c r="O19" s="472"/>
      <c r="P19" s="439"/>
      <c r="Q19" s="472"/>
      <c r="R19" s="472"/>
      <c r="S19" s="472"/>
      <c r="T19" s="472"/>
      <c r="U19" s="472"/>
      <c r="V19" s="472"/>
      <c r="W19" s="1258"/>
      <c r="X19" s="1259"/>
      <c r="Y19" s="1258"/>
      <c r="Z19" s="1259"/>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1:51" ht="13.5" thickBot="1" x14ac:dyDescent="0.25">
      <c r="A20" s="472"/>
      <c r="B20" s="472"/>
      <c r="C20" s="473"/>
      <c r="D20" s="439"/>
      <c r="E20" s="472"/>
      <c r="F20" s="439"/>
      <c r="G20" s="472"/>
      <c r="H20" s="472"/>
      <c r="I20" s="439"/>
      <c r="J20" s="472"/>
      <c r="K20" s="439"/>
      <c r="L20" s="472"/>
      <c r="M20" s="472"/>
      <c r="N20" s="439"/>
      <c r="O20" s="472"/>
      <c r="P20" s="439"/>
      <c r="Q20" s="472"/>
      <c r="R20" s="472"/>
      <c r="S20" s="472"/>
      <c r="T20" s="472"/>
      <c r="U20" s="472"/>
      <c r="V20" s="472"/>
      <c r="W20" s="1258"/>
      <c r="X20" s="1259"/>
      <c r="Y20" s="1258"/>
      <c r="Z20" s="1259"/>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row>
    <row r="21" spans="1:51" ht="13.5" thickBot="1" x14ac:dyDescent="0.25">
      <c r="A21" s="472"/>
      <c r="B21" s="472"/>
      <c r="C21" s="473"/>
      <c r="D21" s="439"/>
      <c r="E21" s="472"/>
      <c r="F21" s="439"/>
      <c r="G21" s="472"/>
      <c r="H21" s="472"/>
      <c r="I21" s="439"/>
      <c r="J21" s="472"/>
      <c r="K21" s="439"/>
      <c r="L21" s="472"/>
      <c r="M21" s="472"/>
      <c r="N21" s="439"/>
      <c r="O21" s="472"/>
      <c r="P21" s="439"/>
      <c r="Q21" s="472"/>
      <c r="R21" s="472"/>
      <c r="S21" s="472"/>
      <c r="T21" s="472"/>
      <c r="U21" s="472"/>
      <c r="V21" s="472"/>
      <c r="W21" s="1258"/>
      <c r="X21" s="1259"/>
      <c r="Y21" s="1258"/>
      <c r="Z21" s="1259"/>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row>
    <row r="22" spans="1:51" ht="13.5" thickBot="1" x14ac:dyDescent="0.25">
      <c r="A22" s="472"/>
      <c r="B22" s="472"/>
      <c r="C22" s="473"/>
      <c r="D22" s="439"/>
      <c r="E22" s="472"/>
      <c r="F22" s="439"/>
      <c r="G22" s="472"/>
      <c r="H22" s="472"/>
      <c r="I22" s="439"/>
      <c r="J22" s="472"/>
      <c r="K22" s="439"/>
      <c r="L22" s="472"/>
      <c r="M22" s="472"/>
      <c r="N22" s="439"/>
      <c r="O22" s="472"/>
      <c r="P22" s="439"/>
      <c r="Q22" s="472"/>
      <c r="R22" s="472"/>
      <c r="S22" s="472"/>
      <c r="T22" s="472"/>
      <c r="U22" s="472"/>
      <c r="V22" s="472"/>
      <c r="W22" s="1258"/>
      <c r="X22" s="1259"/>
      <c r="Y22" s="1258"/>
      <c r="Z22" s="1259"/>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row>
    <row r="23" spans="1:51" ht="13.5" thickBot="1" x14ac:dyDescent="0.25">
      <c r="A23" s="472"/>
      <c r="B23" s="472"/>
      <c r="C23" s="473"/>
      <c r="D23" s="439"/>
      <c r="E23" s="472"/>
      <c r="F23" s="439"/>
      <c r="G23" s="472"/>
      <c r="H23" s="472"/>
      <c r="I23" s="439"/>
      <c r="J23" s="472"/>
      <c r="K23" s="439"/>
      <c r="L23" s="472"/>
      <c r="M23" s="472"/>
      <c r="N23" s="439"/>
      <c r="O23" s="472"/>
      <c r="P23" s="439"/>
      <c r="Q23" s="472"/>
      <c r="R23" s="472"/>
      <c r="S23" s="472"/>
      <c r="T23" s="472"/>
      <c r="U23" s="472"/>
      <c r="V23" s="472"/>
      <c r="W23" s="1258"/>
      <c r="X23" s="1259"/>
      <c r="Y23" s="1258"/>
      <c r="Z23" s="1259"/>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row>
    <row r="24" spans="1:51" ht="13.5" thickBot="1" x14ac:dyDescent="0.25">
      <c r="A24" s="472"/>
      <c r="B24" s="472"/>
      <c r="C24" s="473"/>
      <c r="D24" s="439"/>
      <c r="E24" s="472"/>
      <c r="F24" s="439"/>
      <c r="G24" s="472"/>
      <c r="H24" s="472"/>
      <c r="I24" s="439"/>
      <c r="J24" s="472"/>
      <c r="K24" s="439"/>
      <c r="L24" s="472"/>
      <c r="M24" s="472"/>
      <c r="N24" s="439"/>
      <c r="O24" s="472"/>
      <c r="P24" s="439"/>
      <c r="Q24" s="472"/>
      <c r="R24" s="472"/>
      <c r="S24" s="472"/>
      <c r="T24" s="472"/>
      <c r="U24" s="472"/>
      <c r="V24" s="472"/>
      <c r="W24" s="1258"/>
      <c r="X24" s="1259"/>
      <c r="Y24" s="1258"/>
      <c r="Z24" s="1259"/>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row>
    <row r="25" spans="1:51" ht="13.5" thickBot="1" x14ac:dyDescent="0.25">
      <c r="A25" s="472"/>
      <c r="B25" s="472"/>
      <c r="C25" s="473"/>
      <c r="D25" s="439"/>
      <c r="E25" s="472"/>
      <c r="F25" s="439"/>
      <c r="G25" s="472"/>
      <c r="H25" s="472"/>
      <c r="I25" s="439"/>
      <c r="J25" s="472"/>
      <c r="K25" s="439"/>
      <c r="L25" s="472"/>
      <c r="M25" s="472"/>
      <c r="N25" s="439"/>
      <c r="O25" s="472"/>
      <c r="P25" s="439"/>
      <c r="Q25" s="472"/>
      <c r="R25" s="472"/>
      <c r="S25" s="472"/>
      <c r="T25" s="472"/>
      <c r="U25" s="472"/>
      <c r="V25" s="472"/>
      <c r="W25" s="1258"/>
      <c r="X25" s="1259"/>
      <c r="Y25" s="1258"/>
      <c r="Z25" s="1259"/>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row>
    <row r="26" spans="1:51" ht="13.5" thickBot="1" x14ac:dyDescent="0.25">
      <c r="A26" s="472"/>
      <c r="B26" s="472"/>
      <c r="C26" s="473"/>
      <c r="D26" s="439"/>
      <c r="E26" s="472"/>
      <c r="F26" s="439"/>
      <c r="G26" s="472"/>
      <c r="H26" s="472"/>
      <c r="I26" s="439"/>
      <c r="J26" s="472"/>
      <c r="K26" s="439"/>
      <c r="L26" s="472"/>
      <c r="M26" s="472"/>
      <c r="N26" s="439"/>
      <c r="O26" s="472"/>
      <c r="P26" s="439"/>
      <c r="Q26" s="472"/>
      <c r="R26" s="472"/>
      <c r="S26" s="472"/>
      <c r="T26" s="472"/>
      <c r="U26" s="472"/>
      <c r="V26" s="472"/>
      <c r="W26" s="1258"/>
      <c r="X26" s="1259"/>
      <c r="Y26" s="1258"/>
      <c r="Z26" s="1259"/>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row>
    <row r="27" spans="1:51" ht="13.5" thickBot="1" x14ac:dyDescent="0.25">
      <c r="A27" s="472"/>
      <c r="B27" s="472"/>
      <c r="C27" s="473"/>
      <c r="D27" s="439"/>
      <c r="E27" s="472"/>
      <c r="F27" s="439"/>
      <c r="G27" s="472"/>
      <c r="H27" s="472"/>
      <c r="I27" s="439"/>
      <c r="J27" s="472"/>
      <c r="K27" s="439"/>
      <c r="L27" s="472"/>
      <c r="M27" s="472"/>
      <c r="N27" s="439"/>
      <c r="O27" s="472"/>
      <c r="P27" s="439"/>
      <c r="Q27" s="472"/>
      <c r="R27" s="472"/>
      <c r="S27" s="472"/>
      <c r="T27" s="472"/>
      <c r="U27" s="472"/>
      <c r="V27" s="472"/>
      <c r="W27" s="1258"/>
      <c r="X27" s="1259"/>
      <c r="Y27" s="1258"/>
      <c r="Z27" s="1259"/>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row>
    <row r="28" spans="1:51" ht="13.5" thickBot="1" x14ac:dyDescent="0.25">
      <c r="A28" s="472"/>
      <c r="B28" s="472"/>
      <c r="C28" s="473"/>
      <c r="D28" s="439"/>
      <c r="E28" s="472"/>
      <c r="F28" s="439"/>
      <c r="G28" s="472"/>
      <c r="H28" s="472"/>
      <c r="I28" s="439"/>
      <c r="J28" s="472"/>
      <c r="K28" s="439"/>
      <c r="L28" s="472"/>
      <c r="M28" s="472"/>
      <c r="N28" s="439"/>
      <c r="O28" s="472"/>
      <c r="P28" s="439"/>
      <c r="Q28" s="472"/>
      <c r="R28" s="472"/>
      <c r="S28" s="472"/>
      <c r="T28" s="472"/>
      <c r="U28" s="472"/>
      <c r="V28" s="472"/>
      <c r="W28" s="1258"/>
      <c r="X28" s="1259"/>
      <c r="Y28" s="1258"/>
      <c r="Z28" s="1259"/>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row>
    <row r="29" spans="1:51" ht="13.5" thickBot="1" x14ac:dyDescent="0.25">
      <c r="A29" s="472"/>
      <c r="B29" s="472"/>
      <c r="C29" s="473"/>
      <c r="D29" s="439"/>
      <c r="E29" s="472"/>
      <c r="F29" s="439"/>
      <c r="G29" s="472"/>
      <c r="H29" s="472"/>
      <c r="I29" s="439"/>
      <c r="J29" s="472"/>
      <c r="K29" s="439"/>
      <c r="L29" s="472"/>
      <c r="M29" s="472"/>
      <c r="N29" s="439"/>
      <c r="O29" s="472"/>
      <c r="P29" s="439"/>
      <c r="Q29" s="472"/>
      <c r="R29" s="472"/>
      <c r="S29" s="472"/>
      <c r="T29" s="472"/>
      <c r="U29" s="472"/>
      <c r="V29" s="472"/>
      <c r="W29" s="1258"/>
      <c r="X29" s="1259"/>
      <c r="Y29" s="1258"/>
      <c r="Z29" s="1259"/>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row>
    <row r="30" spans="1:51" ht="13.5" thickBot="1" x14ac:dyDescent="0.25">
      <c r="A30" s="472"/>
      <c r="B30" s="472"/>
      <c r="C30" s="473"/>
      <c r="D30" s="439"/>
      <c r="E30" s="472"/>
      <c r="F30" s="439"/>
      <c r="G30" s="472"/>
      <c r="H30" s="472"/>
      <c r="I30" s="439"/>
      <c r="J30" s="472"/>
      <c r="K30" s="439"/>
      <c r="L30" s="472"/>
      <c r="M30" s="472"/>
      <c r="N30" s="439"/>
      <c r="O30" s="472"/>
      <c r="P30" s="439"/>
      <c r="Q30" s="472"/>
      <c r="R30" s="472"/>
      <c r="S30" s="472"/>
      <c r="T30" s="472"/>
      <c r="U30" s="472"/>
      <c r="V30" s="472"/>
      <c r="W30" s="1258"/>
      <c r="X30" s="1259"/>
      <c r="Y30" s="1258"/>
      <c r="Z30" s="1259"/>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row>
    <row r="31" spans="1:51" ht="13.5" thickBot="1" x14ac:dyDescent="0.25">
      <c r="A31" s="472"/>
      <c r="B31" s="472"/>
      <c r="C31" s="473"/>
      <c r="D31" s="439"/>
      <c r="E31" s="472"/>
      <c r="F31" s="439"/>
      <c r="G31" s="472"/>
      <c r="H31" s="472"/>
      <c r="I31" s="439"/>
      <c r="J31" s="472"/>
      <c r="K31" s="439"/>
      <c r="L31" s="472"/>
      <c r="M31" s="472"/>
      <c r="N31" s="439"/>
      <c r="O31" s="472"/>
      <c r="P31" s="439"/>
      <c r="Q31" s="472"/>
      <c r="R31" s="472"/>
      <c r="S31" s="472"/>
      <c r="T31" s="472"/>
      <c r="U31" s="472"/>
      <c r="V31" s="472"/>
      <c r="W31" s="1258"/>
      <c r="X31" s="1259"/>
      <c r="Y31" s="1258"/>
      <c r="Z31" s="1259"/>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row>
    <row r="32" spans="1:51" ht="13.5" thickBot="1" x14ac:dyDescent="0.25">
      <c r="A32" s="472"/>
      <c r="B32" s="472"/>
      <c r="C32" s="473"/>
      <c r="D32" s="439"/>
      <c r="E32" s="472"/>
      <c r="F32" s="439"/>
      <c r="G32" s="472"/>
      <c r="H32" s="472"/>
      <c r="I32" s="439"/>
      <c r="J32" s="472"/>
      <c r="K32" s="439"/>
      <c r="L32" s="472"/>
      <c r="M32" s="472"/>
      <c r="N32" s="439"/>
      <c r="O32" s="472"/>
      <c r="P32" s="439"/>
      <c r="Q32" s="472"/>
      <c r="R32" s="472"/>
      <c r="S32" s="472"/>
      <c r="T32" s="472"/>
      <c r="U32" s="472"/>
      <c r="V32" s="472"/>
      <c r="W32" s="1258"/>
      <c r="X32" s="1259"/>
      <c r="Y32" s="1258"/>
      <c r="Z32" s="1259"/>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row>
    <row r="33" spans="1:51" ht="13.5" thickBot="1" x14ac:dyDescent="0.25">
      <c r="A33" s="472"/>
      <c r="B33" s="472"/>
      <c r="C33" s="473"/>
      <c r="D33" s="439"/>
      <c r="E33" s="472"/>
      <c r="F33" s="439"/>
      <c r="G33" s="472"/>
      <c r="H33" s="472"/>
      <c r="I33" s="439"/>
      <c r="J33" s="472"/>
      <c r="K33" s="439"/>
      <c r="L33" s="472"/>
      <c r="M33" s="472"/>
      <c r="N33" s="439"/>
      <c r="O33" s="472"/>
      <c r="P33" s="439"/>
      <c r="Q33" s="472"/>
      <c r="R33" s="472"/>
      <c r="S33" s="472"/>
      <c r="T33" s="472"/>
      <c r="U33" s="472"/>
      <c r="V33" s="472"/>
      <c r="W33" s="1258"/>
      <c r="X33" s="1259"/>
      <c r="Y33" s="1258"/>
      <c r="Z33" s="1259"/>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row>
    <row r="34" spans="1:51" ht="13.5" thickBot="1" x14ac:dyDescent="0.25">
      <c r="A34" s="472"/>
      <c r="B34" s="472"/>
      <c r="C34" s="473"/>
      <c r="D34" s="439"/>
      <c r="E34" s="472"/>
      <c r="F34" s="439"/>
      <c r="G34" s="472"/>
      <c r="H34" s="472"/>
      <c r="I34" s="439"/>
      <c r="J34" s="472"/>
      <c r="K34" s="439"/>
      <c r="L34" s="472"/>
      <c r="M34" s="472"/>
      <c r="N34" s="439"/>
      <c r="O34" s="472"/>
      <c r="P34" s="439"/>
      <c r="Q34" s="472"/>
      <c r="R34" s="472"/>
      <c r="S34" s="472"/>
      <c r="T34" s="472"/>
      <c r="U34" s="472"/>
      <c r="V34" s="472"/>
      <c r="W34" s="1258"/>
      <c r="X34" s="1259"/>
      <c r="Y34" s="1258"/>
      <c r="Z34" s="1259"/>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row>
    <row r="35" spans="1:51" ht="13.5" thickBot="1" x14ac:dyDescent="0.25">
      <c r="A35" s="472"/>
      <c r="B35" s="472"/>
      <c r="C35" s="473"/>
      <c r="D35" s="439"/>
      <c r="E35" s="472"/>
      <c r="F35" s="439"/>
      <c r="G35" s="472"/>
      <c r="H35" s="472"/>
      <c r="I35" s="439"/>
      <c r="J35" s="472"/>
      <c r="K35" s="439"/>
      <c r="L35" s="472"/>
      <c r="M35" s="472"/>
      <c r="N35" s="439"/>
      <c r="O35" s="472"/>
      <c r="P35" s="439"/>
      <c r="Q35" s="472"/>
      <c r="R35" s="472"/>
      <c r="S35" s="472"/>
      <c r="T35" s="472"/>
      <c r="U35" s="472"/>
      <c r="V35" s="472"/>
      <c r="W35" s="1258"/>
      <c r="X35" s="1259"/>
      <c r="Y35" s="1258"/>
      <c r="Z35" s="1259"/>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row>
    <row r="36" spans="1:51" ht="13.5" thickBot="1" x14ac:dyDescent="0.25">
      <c r="A36" s="472"/>
      <c r="B36" s="472"/>
      <c r="C36" s="473"/>
      <c r="D36" s="474"/>
      <c r="E36" s="472"/>
      <c r="F36" s="474"/>
      <c r="G36" s="472"/>
      <c r="H36" s="472"/>
      <c r="I36" s="474"/>
      <c r="J36" s="472"/>
      <c r="K36" s="474"/>
      <c r="L36" s="472"/>
      <c r="M36" s="472"/>
      <c r="N36" s="474"/>
      <c r="O36" s="472"/>
      <c r="P36" s="474"/>
      <c r="Q36" s="472"/>
      <c r="R36" s="472"/>
      <c r="S36" s="472"/>
      <c r="T36" s="472"/>
      <c r="U36" s="472"/>
      <c r="V36" s="472"/>
      <c r="W36" s="1258"/>
      <c r="X36" s="1259"/>
      <c r="Y36" s="1258"/>
      <c r="Z36" s="1259"/>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row>
    <row r="37" spans="1:51" ht="13.5" x14ac:dyDescent="0.2">
      <c r="A37" s="475" t="s">
        <v>725</v>
      </c>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row>
    <row r="38" spans="1:51" ht="13.5" x14ac:dyDescent="0.2">
      <c r="A38" s="440" t="s">
        <v>726</v>
      </c>
      <c r="B38" s="441"/>
      <c r="C38" s="441"/>
      <c r="D38" s="441"/>
      <c r="E38" s="441"/>
      <c r="F38" s="441"/>
      <c r="G38" s="441"/>
      <c r="H38" s="441"/>
      <c r="I38" s="441"/>
      <c r="J38" s="441"/>
      <c r="K38" s="441"/>
      <c r="L38" s="441"/>
      <c r="M38" s="441"/>
      <c r="N38" s="441"/>
      <c r="O38" s="441"/>
      <c r="P38" s="441" t="s">
        <v>727</v>
      </c>
      <c r="Q38" s="441"/>
      <c r="R38" s="441"/>
      <c r="S38" s="441"/>
      <c r="T38" s="441"/>
      <c r="U38" s="441"/>
      <c r="V38" s="441"/>
      <c r="W38" s="441"/>
      <c r="X38" s="441"/>
      <c r="Y38" s="441"/>
      <c r="Z38" s="441"/>
    </row>
    <row r="39" spans="1:51" x14ac:dyDescent="0.2">
      <c r="R39" s="50" t="s">
        <v>14</v>
      </c>
    </row>
    <row r="53" spans="1:26"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sheetData>
  <mergeCells count="79">
    <mergeCell ref="A2:G2"/>
    <mergeCell ref="H2:Q2"/>
    <mergeCell ref="R2:Z2"/>
    <mergeCell ref="C3:G5"/>
    <mergeCell ref="H3:L5"/>
    <mergeCell ref="M3:Q5"/>
    <mergeCell ref="R3:S3"/>
    <mergeCell ref="W3:X3"/>
    <mergeCell ref="Y3:Z3"/>
    <mergeCell ref="R4:S4"/>
    <mergeCell ref="W4:X4"/>
    <mergeCell ref="Y4:Z4"/>
    <mergeCell ref="R5:S5"/>
    <mergeCell ref="W5:X5"/>
    <mergeCell ref="Y5:Z5"/>
    <mergeCell ref="D6:D13"/>
    <mergeCell ref="F6:F13"/>
    <mergeCell ref="I6:I13"/>
    <mergeCell ref="K6:K13"/>
    <mergeCell ref="N6:N13"/>
    <mergeCell ref="P6:P13"/>
    <mergeCell ref="W6:X6"/>
    <mergeCell ref="Y6:Z6"/>
    <mergeCell ref="W7:X7"/>
    <mergeCell ref="Y7:Z7"/>
    <mergeCell ref="W8:X8"/>
    <mergeCell ref="Y8:Z8"/>
    <mergeCell ref="W9:X9"/>
    <mergeCell ref="Y9:Z9"/>
    <mergeCell ref="Y10:Z10"/>
    <mergeCell ref="W11:X11"/>
    <mergeCell ref="Y11:Z11"/>
    <mergeCell ref="Y12:Z12"/>
    <mergeCell ref="W14:X14"/>
    <mergeCell ref="Y14:Z14"/>
    <mergeCell ref="W15:X15"/>
    <mergeCell ref="Y15:Z15"/>
    <mergeCell ref="W16:X16"/>
    <mergeCell ref="Y16:Z16"/>
    <mergeCell ref="W17:X17"/>
    <mergeCell ref="Y17:Z17"/>
    <mergeCell ref="W18:X18"/>
    <mergeCell ref="Y18:Z18"/>
    <mergeCell ref="W19:X19"/>
    <mergeCell ref="Y19:Z19"/>
    <mergeCell ref="W20:X20"/>
    <mergeCell ref="Y20:Z20"/>
    <mergeCell ref="W21:X21"/>
    <mergeCell ref="Y21:Z21"/>
    <mergeCell ref="W22:X22"/>
    <mergeCell ref="Y22:Z22"/>
    <mergeCell ref="W23:X23"/>
    <mergeCell ref="Y23:Z23"/>
    <mergeCell ref="W24:X24"/>
    <mergeCell ref="Y24:Z24"/>
    <mergeCell ref="W25:X25"/>
    <mergeCell ref="Y25:Z25"/>
    <mergeCell ref="W26:X26"/>
    <mergeCell ref="Y26:Z26"/>
    <mergeCell ref="W27:X27"/>
    <mergeCell ref="Y27:Z27"/>
    <mergeCell ref="W28:X28"/>
    <mergeCell ref="Y28:Z28"/>
    <mergeCell ref="W29:X29"/>
    <mergeCell ref="Y29:Z29"/>
    <mergeCell ref="W30:X30"/>
    <mergeCell ref="Y30:Z30"/>
    <mergeCell ref="W31:X31"/>
    <mergeCell ref="Y31:Z31"/>
    <mergeCell ref="W32:X32"/>
    <mergeCell ref="Y32:Z32"/>
    <mergeCell ref="W33:X33"/>
    <mergeCell ref="Y33:Z33"/>
    <mergeCell ref="W34:X34"/>
    <mergeCell ref="Y34:Z34"/>
    <mergeCell ref="W35:X35"/>
    <mergeCell ref="Y35:Z35"/>
    <mergeCell ref="W36:X36"/>
    <mergeCell ref="Y36:Z36"/>
  </mergeCells>
  <pageMargins left="0.511811024" right="0.511811024" top="0.78740157499999996" bottom="0.78740157499999996" header="0.31496062000000002" footer="0.31496062000000002"/>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13</vt:i4>
      </vt:variant>
    </vt:vector>
  </HeadingPairs>
  <TitlesOfParts>
    <vt:vector size="28" baseType="lpstr">
      <vt:lpstr>MC1</vt:lpstr>
      <vt:lpstr>MC2</vt:lpstr>
      <vt:lpstr>NBR</vt:lpstr>
      <vt:lpstr>IT</vt:lpstr>
      <vt:lpstr>MC1 (2)</vt:lpstr>
      <vt:lpstr>MC2 (2)</vt:lpstr>
      <vt:lpstr>NPSH</vt:lpstr>
      <vt:lpstr>SPK1</vt:lpstr>
      <vt:lpstr>SPK2</vt:lpstr>
      <vt:lpstr>Carta CBM</vt:lpstr>
      <vt:lpstr>Carta Cliente</vt:lpstr>
      <vt:lpstr>Planilha ORC M</vt:lpstr>
      <vt:lpstr>Planilha ORC</vt:lpstr>
      <vt:lpstr>Carta CBMs</vt:lpstr>
      <vt:lpstr>Carta Clientes</vt:lpstr>
      <vt:lpstr>'Carta CBM'!Area_de_impressao</vt:lpstr>
      <vt:lpstr>'Carta Cliente'!Area_de_impressao</vt:lpstr>
      <vt:lpstr>'MC1 (2)'!Area_de_impressao</vt:lpstr>
      <vt:lpstr>MC2!Area_de_impressao</vt:lpstr>
      <vt:lpstr>'MC2 (2)'!Area_de_impressao</vt:lpstr>
      <vt:lpstr>NPSH!Area_de_impressao</vt:lpstr>
      <vt:lpstr>'Planilha ORC'!Area_de_impressao</vt:lpstr>
      <vt:lpstr>'Planilha ORC M'!Area_de_impressao</vt:lpstr>
      <vt:lpstr>SPK1!Area_de_impressao</vt:lpstr>
      <vt:lpstr>SPK2!Area_de_impressao</vt:lpstr>
      <vt:lpstr>Excel_BuiltIn__FilterDatabase</vt:lpstr>
      <vt:lpstr>'Planilha ORC'!Titulos_de_impressao</vt:lpstr>
      <vt:lpstr>'Planilha ORC M'!Titulos_de_impressao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Emidia</dc:creator>
  <cp:lastModifiedBy>francinaldo</cp:lastModifiedBy>
  <cp:lastPrinted>2019-12-30T16:56:30Z</cp:lastPrinted>
  <dcterms:created xsi:type="dcterms:W3CDTF">2017-05-30T12:12:02Z</dcterms:created>
  <dcterms:modified xsi:type="dcterms:W3CDTF">2020-01-03T15:40:47Z</dcterms:modified>
</cp:coreProperties>
</file>